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2.xml" ContentType="application/vnd.openxmlformats-officedocument.themeOverrid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4.xml" ContentType="application/vnd.openxmlformats-officedocument.themeOverrid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8.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showInkAnnotation="0" codeName="ThisWorkbook" hidePivotFieldList="1" autoCompressPictures="0" defaultThemeVersion="124226"/>
  <xr:revisionPtr revIDLastSave="0" documentId="13_ncr:1_{4F7B3FBC-E366-4B84-A05E-9A529EC2E005}" xr6:coauthVersionLast="47" xr6:coauthVersionMax="47" xr10:uidLastSave="{00000000-0000-0000-0000-000000000000}"/>
  <bookViews>
    <workbookView xWindow="2565" yWindow="-16320" windowWidth="38640" windowHeight="15990" tabRatio="889" firstSheet="6" activeTab="6" xr2:uid="{00000000-000D-0000-FFFF-FFFF00000000}"/>
  </bookViews>
  <sheets>
    <sheet name="Project Tracker - Template" sheetId="41" state="hidden" r:id="rId1"/>
    <sheet name="Pivot - CSP (Current)" sheetId="46" state="hidden" r:id="rId2"/>
    <sheet name="Pivot - CSP (All)" sheetId="19" state="hidden" r:id="rId3"/>
    <sheet name="Chart2" sheetId="38" state="hidden" r:id="rId4"/>
    <sheet name="Pivot - TC" sheetId="35" state="hidden" r:id="rId5"/>
    <sheet name="Sheet2" sheetId="62" state="hidden" r:id="rId6"/>
    <sheet name="Risk Register" sheetId="1" r:id="rId7"/>
    <sheet name="Risk Treatment Plan" sheetId="58" r:id="rId8"/>
    <sheet name="Risk Treatment Roadmap" sheetId="15" state="hidden" r:id="rId9"/>
    <sheet name="ProTrak" sheetId="59" r:id="rId10"/>
    <sheet name="Risk Assessment Criteria" sheetId="14" r:id="rId11"/>
    <sheet name="HIT WDI Model" sheetId="34" r:id="rId12"/>
    <sheet name="HIT" sheetId="13" r:id="rId13"/>
    <sheet name="Chart - Current Risk by CSP" sheetId="47" r:id="rId14"/>
    <sheet name="Chart - Risk by CSP" sheetId="21" r:id="rId15"/>
    <sheet name="Chart - Risk by TC" sheetId="37" r:id="rId16"/>
    <sheet name="KRI Analytics" sheetId="42" r:id="rId17"/>
    <sheet name="Standard KRIs" sheetId="45" r:id="rId18"/>
    <sheet name="KRI - Risk Trend" sheetId="44" r:id="rId19"/>
    <sheet name="MITRE Attack Mappings" sheetId="60" r:id="rId20"/>
    <sheet name="Ransomware" sheetId="49" r:id="rId21"/>
    <sheet name="Privilege Misuse" sheetId="52" r:id="rId22"/>
    <sheet name="SoA" sheetId="31" state="hidden" r:id="rId23"/>
    <sheet name="Lookup" sheetId="25" r:id="rId24"/>
    <sheet name="Solutions" sheetId="39" state="hidden" r:id="rId25"/>
  </sheets>
  <definedNames>
    <definedName name="_xlnm._FilterDatabase" localSheetId="7" hidden="1">'Risk Treatment Plan'!#REF!</definedName>
    <definedName name="AcceptableRisk">#REF!</definedName>
    <definedName name="Asset_Classes">Lookup!$F$25:$F$52</definedName>
    <definedName name="Asset_Type" localSheetId="4">#REF!</definedName>
    <definedName name="CLR">'Risk Register'!$AA:$AA</definedName>
    <definedName name="col_num" localSheetId="19">MATCH(luHCF,lstCommonSecurityPrograms,0)</definedName>
    <definedName name="col_num" localSheetId="1">MATCH(luHCF,lstCommonSecurityPrograms,0)</definedName>
    <definedName name="col_num" localSheetId="0">MATCH(luHCF,'Project Tracker - Template'!lstCommonSecurityPrograms,0)</definedName>
    <definedName name="col_num" localSheetId="9">MATCH(luHCF,lstCommonSecurityPrograms,0)</definedName>
    <definedName name="col_num" localSheetId="7">MATCH(luHCF,lstCommonSecurityPrograms,0)</definedName>
    <definedName name="col_num">MATCH(luHCF,lstCommonSecurityPrograms,0)</definedName>
    <definedName name="Control_Maturity" localSheetId="1">tblRisk[[#All],[Control Maturity]]</definedName>
    <definedName name="Control_Maturity" localSheetId="9">tblRisk[[#All],[Control Maturity]]</definedName>
    <definedName name="Control_Maturity" localSheetId="7">tblRisk[[#All],[Control Maturity]]</definedName>
    <definedName name="Control_Maturity">tblRisk[[#All],[Control Maturity]]</definedName>
    <definedName name="CSPType">Table5111318[CSP Type]</definedName>
    <definedName name="Current_Level_of_Risk" localSheetId="1">tblRisk[[#All],[Current Level of Risk]]</definedName>
    <definedName name="Current_Level_of_Risk" localSheetId="9">tblRisk[[#All],[Current Level of Risk]]</definedName>
    <definedName name="Current_Level_of_Risk" localSheetId="7">tblRisk[[#All],[Current Level of Risk]]</definedName>
    <definedName name="Current_Level_of_Risk">tblRisk[[#All],[Current Level of Risk]]</definedName>
    <definedName name="Due_Date" localSheetId="1">tblRisk[[#All],[Due Date]]</definedName>
    <definedName name="Due_Date" localSheetId="9">tblRisk[[#All],[Due Date]]</definedName>
    <definedName name="Due_Date" localSheetId="7">tblRisk[[#All],[Due Date]]</definedName>
    <definedName name="Due_Date">tblRisk[[#All],[Due Date]]</definedName>
    <definedName name="entire_col" localSheetId="1">INDEX(#REF!,,'Pivot - CSP (Current)'!col_num)</definedName>
    <definedName name="entire_col" localSheetId="0">INDEX(#REF!,,'Project Tracker - Template'!col_num)</definedName>
    <definedName name="entire_col" localSheetId="9">INDEX(#REF!,,ProTrak!col_num)</definedName>
    <definedName name="entire_col" localSheetId="7">INDEX(#REF!,,'Risk Treatment Plan'!col_num)</definedName>
    <definedName name="entire_col">INDEX(#REF!,,col_num)</definedName>
    <definedName name="Estimated_End_Date" localSheetId="1">tblRiskTreatmentPrograms[[#All],[Estimated End Date (MM/DD/YYYY)]]</definedName>
    <definedName name="Estimated_End_Date" localSheetId="9">tblRiskTreatmentPrograms[[#All],[Estimated End Date (MM/DD/YYYY)]]</definedName>
    <definedName name="Estimated_End_Date" localSheetId="7">tblRiskTreatmentPrograms[[#All],[Estimated End Date (MM/DD/YYYY)]]</definedName>
    <definedName name="Estimated_End_Date">tblRiskTreatmentPrograms[[#All],[Estimated End Date (MM/DD/YYYY)]]</definedName>
    <definedName name="Feasibility" localSheetId="1">Table22[[#All],[Feasibility]]</definedName>
    <definedName name="Feasibility" localSheetId="9">ProTrak[[#All],[Feasibility]]</definedName>
    <definedName name="Feasibility" localSheetId="7">ProTrak[[#All],[Feasibility]]</definedName>
    <definedName name="Feasibility">Table22[[#All],[Feasibility]]</definedName>
    <definedName name="FTI_Score" localSheetId="4">#REF!</definedName>
    <definedName name="HIT_Quintile" localSheetId="1">tblRisk[[#All],[HIT Quintile]]</definedName>
    <definedName name="HIT_Quintile" localSheetId="9">tblRisk[[#All],[HIT Quintile]]</definedName>
    <definedName name="HIT_Quintile" localSheetId="7">tblRisk[[#All],[HIT Quintile]]</definedName>
    <definedName name="HIT_Quintile">tblRisk[[#All],[HIT Quintile]]</definedName>
    <definedName name="Industry">#REF!</definedName>
    <definedName name="lst_TC">tblHIT[Threat Cluster]</definedName>
    <definedName name="lstCSC" localSheetId="19">#REF!</definedName>
    <definedName name="lstCSC" localSheetId="1">tblCSC[Common Security Control]</definedName>
    <definedName name="lstCSC" localSheetId="4">tblCSC[Common Security Control]</definedName>
    <definedName name="lstCSC" localSheetId="9">tblCSC[Common Security Control]</definedName>
    <definedName name="lstCSC" localSheetId="7">tblCSC[Common Security Control]</definedName>
    <definedName name="lstCSC">tblCSC[Common Security Control]</definedName>
    <definedName name="lstCSP" localSheetId="19">#REF!</definedName>
    <definedName name="lstCSP" localSheetId="1">tblCSP[Common Security Programs]</definedName>
    <definedName name="lstCSP" localSheetId="4">tblCSP[Common Security Programs]</definedName>
    <definedName name="lstCSP" localSheetId="9">tblCSP[Common Security Programs]</definedName>
    <definedName name="lstCSP" localSheetId="7">tblCSP[Common Security Programs]</definedName>
    <definedName name="lstCSP">tblCSP[Common Security Programs]</definedName>
    <definedName name="lstDates" localSheetId="1">tblDates[Dates]</definedName>
    <definedName name="lstDates" localSheetId="9">tblDates[Dates]</definedName>
    <definedName name="lstDates" localSheetId="7">tblDates[Dates]</definedName>
    <definedName name="lstDates">tblDates[Dates]</definedName>
    <definedName name="lstLikelihood" localSheetId="19">#REF!</definedName>
    <definedName name="lstLikelihood" localSheetId="1">tblLikelihood[Likelihood]</definedName>
    <definedName name="lstLikelihood" localSheetId="4">tblLikelihood[Likelihood]</definedName>
    <definedName name="lstLikelihood" localSheetId="9">tblLikelihood[Likelihood]</definedName>
    <definedName name="lstLikelihood" localSheetId="7">tblLikelihood[Likelihood]</definedName>
    <definedName name="lstLikelihood">tblLikelihood[Likelihood]</definedName>
    <definedName name="lstMaturity" localSheetId="19">#REF!</definedName>
    <definedName name="lstMaturity" localSheetId="1">tblMaturity[Maturity]</definedName>
    <definedName name="lstMaturity" localSheetId="4">tblMaturity[Maturity]</definedName>
    <definedName name="lstMaturity" localSheetId="9">tblMaturity[Maturity]</definedName>
    <definedName name="lstMaturity" localSheetId="7">tblMaturity[Maturity]</definedName>
    <definedName name="lstMaturity">tblMaturity[Maturity]</definedName>
    <definedName name="lstMaturityVals" localSheetId="19">#REF!</definedName>
    <definedName name="lstMaturityVals" localSheetId="1">tblMaturity[Value]</definedName>
    <definedName name="lstMaturityVals" localSheetId="4">tblMaturity[Value]</definedName>
    <definedName name="lstMaturityVals" localSheetId="9">tblMaturity[Value]</definedName>
    <definedName name="lstMaturityVals" localSheetId="7">tblMaturity[Value]</definedName>
    <definedName name="lstMaturityVals">tblMaturity[Value]</definedName>
    <definedName name="lstRTP" localSheetId="19">#REF!</definedName>
    <definedName name="lstRTP" localSheetId="1">tblRiskTreatmentPrograms[Risk Treatment Program]</definedName>
    <definedName name="lstRTP" localSheetId="4">tblRiskTreatmentPrograms[Risk Treatment Program]</definedName>
    <definedName name="lstRTP" localSheetId="9">tblRiskTreatmentPrograms[Risk Treatment Program]</definedName>
    <definedName name="lstRTP" localSheetId="7">tblRiskTreatmentPrograms[Risk Treatment Program]</definedName>
    <definedName name="lstRTP">tblRiskTreatmentPrograms[Risk Treatment Program]</definedName>
    <definedName name="lstSafeguardStatus" localSheetId="19">#REF!</definedName>
    <definedName name="lstSafeguardStatus" localSheetId="1">tblSafeguardStatus[Safeguard Status]</definedName>
    <definedName name="lstSafeguardStatus" localSheetId="4">tblSafeguardStatus[Safeguard Status]</definedName>
    <definedName name="lstSafeguardStatus" localSheetId="9">tblSafeguardStatus[Safeguard Status]</definedName>
    <definedName name="lstSafeguardStatus" localSheetId="7">tblSafeguardStatus[Safeguard Status]</definedName>
    <definedName name="lstSafeguardStatus">tblSafeguardStatus[Safeguard Status]</definedName>
    <definedName name="lstSolutions" localSheetId="1">Table1[[#All],[HALOCK Service/Product Offering]]</definedName>
    <definedName name="lstSolutions" localSheetId="9">Table1[[#All],[HALOCK Service/Product Offering]]</definedName>
    <definedName name="lstSolutions" localSheetId="7">Table1[[#All],[HALOCK Service/Product Offering]]</definedName>
    <definedName name="lstSolutions">Table1[[#All],[HALOCK Service/Product Offering]]</definedName>
    <definedName name="lstStandards" localSheetId="19">#REF!</definedName>
    <definedName name="lstStandards" localSheetId="1">tblStandards[Standards]</definedName>
    <definedName name="lstStandards" localSheetId="4">tblStandards[Standards]</definedName>
    <definedName name="lstStandards" localSheetId="9">tblStandards[Standards]</definedName>
    <definedName name="lstStandards" localSheetId="7">tblStandards[Standards]</definedName>
    <definedName name="lstStandards">tblStandards[Standards]</definedName>
    <definedName name="lstTC" localSheetId="19">#REF!</definedName>
    <definedName name="lstTC" localSheetId="1">tblHIT[Threat Cluster]</definedName>
    <definedName name="lstTC" localSheetId="4">tblHIT[Threat Cluster]</definedName>
    <definedName name="lstTC" localSheetId="9">tblHIT[Threat Cluster]</definedName>
    <definedName name="lstTC" localSheetId="7">tblHIT[Threat Cluster]</definedName>
    <definedName name="lstTC">tblHIT[Threat Cluster]</definedName>
    <definedName name="luHC" localSheetId="1">OFFSET(INDEX(#REF!,1,'Pivot - CSP (Current)'!col_num),0,0,COUNTA('Pivot - CSP (Current)'!entire_col))</definedName>
    <definedName name="luHC" localSheetId="0">OFFSET(INDEX(#REF!,1,'Project Tracker - Template'!col_num),0,0,COUNTA('Project Tracker - Template'!entire_col))</definedName>
    <definedName name="luHC" localSheetId="9">OFFSET(INDEX(#REF!,1,ProTrak!col_num),0,0,COUNTA(ProTrak!entire_col))</definedName>
    <definedName name="luHC" localSheetId="7">OFFSET(INDEX(#REF!,1,'Risk Treatment Plan'!col_num),0,0,COUNTA('Risk Treatment Plan'!entire_col))</definedName>
    <definedName name="luHC">OFFSET(INDEX(#REF!,1,col_num),0,0,COUNTA(entire_col))</definedName>
    <definedName name="Maturity_Score">#REF!</definedName>
    <definedName name="Month1" localSheetId="0">Table68[[#All],[Jul-22]]</definedName>
    <definedName name="Month1">ProTrak[[#All],[4/1/2024]]</definedName>
    <definedName name="Month10" localSheetId="0">Table68[[#All],[Apr-23]]</definedName>
    <definedName name="Month10">ProTrak[[#All],[1/1/2025]]</definedName>
    <definedName name="Month11" localSheetId="0">Table68[[#All],[May-23]]</definedName>
    <definedName name="Month11">ProTrak[[#All],[2/1/2025]]</definedName>
    <definedName name="Month12" localSheetId="0">Table68[[#All],[Jun-23]]</definedName>
    <definedName name="Month12">ProTrak[[#All],[3/1/2025]]</definedName>
    <definedName name="Month13" localSheetId="0">Table68[[#All],[Jul-23]]</definedName>
    <definedName name="Month13">ProTrak[[#All],[4/1/2025]]</definedName>
    <definedName name="Month14" localSheetId="0">Table68[[#All],[Aug-23]]</definedName>
    <definedName name="Month14">ProTrak[[#All],[5/1/2025]]</definedName>
    <definedName name="Month15" localSheetId="0">Table68[[#All],[Sep-23]]</definedName>
    <definedName name="Month15">ProTrak[[#All],[6/1/2025]]</definedName>
    <definedName name="Month2" localSheetId="0">Table68[[#All],[Aug-22]]</definedName>
    <definedName name="Month2">ProTrak[[#All],[5/1/2024]]</definedName>
    <definedName name="Month3" localSheetId="0">Table68[[#All],[Sep-22]]</definedName>
    <definedName name="Month3">ProTrak[[#All],[6/1/2024]]</definedName>
    <definedName name="Month4" localSheetId="0">Table68[[#All],[Oct-22]]</definedName>
    <definedName name="Month4">ProTrak[[#All],[7/1/2024]]</definedName>
    <definedName name="Month5" localSheetId="0">Table68[[#All],[Nov-22]]</definedName>
    <definedName name="Month5">ProTrak[[#All],[8/1/2024]]</definedName>
    <definedName name="Month6" localSheetId="0">Table68[[#All],[Dec-22]]</definedName>
    <definedName name="Month6">ProTrak[[#All],[9/1/2024]]</definedName>
    <definedName name="Month7" localSheetId="0">Table68[[#All],[Jan-23]]</definedName>
    <definedName name="Month7">ProTrak[[#All],[10/1/2024]]</definedName>
    <definedName name="Month8" localSheetId="0">Table68[[#All],[Feb-23]]</definedName>
    <definedName name="Month8">ProTrak[[#All],[11/1/2024]]</definedName>
    <definedName name="Month9" localSheetId="0">Table68[[#All],[Mar-23]]</definedName>
    <definedName name="Month9">ProTrak[[#All],[12/1/2024]]</definedName>
    <definedName name="Quarters" localSheetId="19">#REF!</definedName>
    <definedName name="Quarters" localSheetId="1">tblDates[[#All],[Dates]]</definedName>
    <definedName name="Quarters" localSheetId="9">tblDates[[#All],[Dates]]</definedName>
    <definedName name="Quarters" localSheetId="7">tblDates[[#All],[Dates]]</definedName>
    <definedName name="Quarters">tblDates[[#All],[Dates]]</definedName>
    <definedName name="Responsibility" localSheetId="0">Table68[[#All],[Responsibility]]</definedName>
    <definedName name="Responsibility">ProTrak[[#All],[Responsibility]]</definedName>
    <definedName name="Responsible_Party" localSheetId="1">Table20[[#All],[Responsible Party]]</definedName>
    <definedName name="Responsible_Party" localSheetId="9">Table20[[#All],[Responsible Party]]</definedName>
    <definedName name="Responsible_Party" localSheetId="7">Table20[[#All],[Responsible Party]]</definedName>
    <definedName name="Responsible_Party">Table20[[#All],[Responsible Party]]</definedName>
    <definedName name="Risk_Level" localSheetId="1">tblRisk[Current Level of Risk]</definedName>
    <definedName name="Risk_Level" localSheetId="9">tblRisk[Current Level of Risk]</definedName>
    <definedName name="Risk_Level" localSheetId="7">tblRisk[Current Level of Risk]</definedName>
    <definedName name="Risk_Level">tblRisk[Current Level of Risk]</definedName>
    <definedName name="Risk_Score" localSheetId="1">tblRisk[[#All],[Risk Score]]</definedName>
    <definedName name="Risk_Score" localSheetId="9">tblRisk[[#All],[Risk Score]]</definedName>
    <definedName name="Risk_Score" localSheetId="7">tblRisk[[#All],[Risk Score]]</definedName>
    <definedName name="Risk_Score">tblRisk[[#All],[Risk Score]]</definedName>
    <definedName name="Risk_Score_With_Safeguard_in_Place" localSheetId="1">tblRisk[[#All],[Risk Score With Safeguard in Place]]</definedName>
    <definedName name="Risk_Score_With_Safeguard_in_Place" localSheetId="9">tblRisk[[#All],[Risk Score With Safeguard in Place]]</definedName>
    <definedName name="Risk_Score_With_Safeguard_in_Place" localSheetId="7">tblRisk[[#All],[Risk Score With Safeguard in Place]]</definedName>
    <definedName name="Risk_Score_With_Safeguard_in_Place">tblRisk[[#All],[Risk Score With Safeguard in Place]]</definedName>
    <definedName name="Risk_Treatment_Program" localSheetId="1">tblRiskTreatmentPrograms[[#All],[Risk Treatment Program]]</definedName>
    <definedName name="Risk_Treatment_Program" localSheetId="9">tblRiskTreatmentPrograms[[#All],[Risk Treatment Program]]</definedName>
    <definedName name="Risk_Treatment_Program" localSheetId="7">tblRiskTreatmentPrograms[[#All],[Risk Treatment Program]]</definedName>
    <definedName name="Risk_Treatment_Program">tblRiskTreatmentPrograms[[#All],[Risk Treatment Program]]</definedName>
    <definedName name="RRCSP">'Risk Register'!$D:$D</definedName>
    <definedName name="RRRS">'Risk Register'!$V:$V</definedName>
    <definedName name="RRSGRS">'Risk Register'!$AP:$AP</definedName>
    <definedName name="RTO">'Risk Register'!$AB:$AB</definedName>
    <definedName name="RTS">'Risk Register'!$AE:$AE</definedName>
    <definedName name="Scenario_Builder_Current_Risk">#REF!</definedName>
    <definedName name="Scenario_Builder_Status">#REF!</definedName>
    <definedName name="Table24" localSheetId="9">HIT_Table</definedName>
    <definedName name="Table24" localSheetId="7">HIT_Table</definedName>
    <definedName name="Table24">HIT_Table</definedName>
    <definedName name="Threat_Cluster" localSheetId="1">tblRisk[Threat Cluster]</definedName>
    <definedName name="Threat_Cluster" localSheetId="4">#REF!</definedName>
    <definedName name="Threat_Cluster" localSheetId="9">tblRisk[Threat Cluster]</definedName>
    <definedName name="Threat_Cluster" localSheetId="7">tblRisk[Threat Cluster]</definedName>
    <definedName name="Threat_Cluster">tblRisk[Threat Cluster]</definedName>
    <definedName name="txtBadRTP">"Check that RTP for the designated asset exists"</definedName>
    <definedName name="txtDivider">"-----"</definedName>
    <definedName name="valALR" localSheetId="19">#REF!</definedName>
    <definedName name="valALR" localSheetId="9">'Risk Assessment Criteria'!$J$34</definedName>
    <definedName name="valALR" localSheetId="7">'Risk Assessment Criteria'!$J$34</definedName>
    <definedName name="valALR">'Risk Assessment Criteria'!$J$34</definedName>
    <definedName name="valCLR" localSheetId="19">#REF!</definedName>
    <definedName name="valCLR" localSheetId="9">'Risk Assessment Criteria'!$J$35</definedName>
    <definedName name="valCLR" localSheetId="7">'Risk Assessment Criteria'!$J$35</definedName>
    <definedName name="valCLR">'Risk Assessment Criteria'!$J$35</definedName>
    <definedName name="valHigh">"High"</definedName>
    <definedName name="valLow">"Low"</definedName>
    <definedName name="valMed">"Medium"</definedName>
    <definedName name="valuevx">42.314159</definedName>
    <definedName name="vertex42_copyright" hidden="1">"© 2006-2018 Vertex42 LLC"</definedName>
    <definedName name="vertex42_id" hidden="1">"gantt-chart_L2.xlsx"</definedName>
    <definedName name="vertex42_title" hidden="1">"Gantt Chart Template"</definedName>
    <definedName name="vWhatIfQuarter" localSheetId="19">#REF!</definedName>
    <definedName name="vWhatIfQuarter" localSheetId="9">'KRI Analytics'!$D$6</definedName>
    <definedName name="vWhatIfQuarter" localSheetId="7">'KRI Analytics'!$D$6</definedName>
    <definedName name="vWhatIfQuarter">'KRI Analytics'!$D$6</definedName>
  </definedNames>
  <calcPr calcId="191029"/>
  <pivotCaches>
    <pivotCache cacheId="32" r:id="rId2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156" i="1" l="1"/>
  <c r="BC155" i="1"/>
  <c r="BC153" i="1"/>
  <c r="BC152" i="1"/>
  <c r="BC151" i="1"/>
  <c r="BC150" i="1"/>
  <c r="BC149" i="1"/>
  <c r="BC148" i="1"/>
  <c r="BC147" i="1"/>
  <c r="BC146" i="1"/>
  <c r="BC145" i="1"/>
  <c r="BC144" i="1"/>
  <c r="BC143" i="1"/>
  <c r="BC142" i="1"/>
  <c r="BC141" i="1"/>
  <c r="BC140" i="1"/>
  <c r="BC139" i="1"/>
  <c r="BC138" i="1"/>
  <c r="BC137" i="1"/>
  <c r="BC136" i="1"/>
  <c r="BC135" i="1"/>
  <c r="BC134" i="1"/>
  <c r="BC133" i="1"/>
  <c r="BC131" i="1"/>
  <c r="BC130" i="1"/>
  <c r="BC129" i="1"/>
  <c r="BC128" i="1"/>
  <c r="BC127" i="1"/>
  <c r="BC126" i="1"/>
  <c r="BC125" i="1"/>
  <c r="BC124" i="1"/>
  <c r="BC123" i="1"/>
  <c r="BC122" i="1"/>
  <c r="BC121" i="1"/>
  <c r="BC120" i="1"/>
  <c r="BC119" i="1"/>
  <c r="BC118" i="1"/>
  <c r="BC117" i="1"/>
  <c r="BC116" i="1"/>
  <c r="BC115" i="1"/>
  <c r="BC114" i="1"/>
  <c r="BC113" i="1"/>
  <c r="BC112" i="1"/>
  <c r="BC111" i="1"/>
  <c r="BC110" i="1"/>
  <c r="BC109" i="1"/>
  <c r="BC108" i="1"/>
  <c r="BC107" i="1"/>
  <c r="BC106" i="1"/>
  <c r="BC105" i="1"/>
  <c r="BC104" i="1"/>
  <c r="BC103" i="1"/>
  <c r="BC102" i="1"/>
  <c r="BC101" i="1"/>
  <c r="BC100" i="1"/>
  <c r="BC99" i="1"/>
  <c r="BC98" i="1"/>
  <c r="BC97" i="1"/>
  <c r="BC96" i="1"/>
  <c r="BC95" i="1"/>
  <c r="BC94" i="1"/>
  <c r="BC93" i="1"/>
  <c r="BC92" i="1"/>
  <c r="BC91" i="1"/>
  <c r="BC90" i="1"/>
  <c r="BC89" i="1"/>
  <c r="BC88" i="1"/>
  <c r="BC87" i="1"/>
  <c r="BC86" i="1"/>
  <c r="BC85" i="1"/>
  <c r="BC84" i="1"/>
  <c r="BC83" i="1"/>
  <c r="BC82" i="1"/>
  <c r="BC81" i="1"/>
  <c r="BC80" i="1"/>
  <c r="BC79" i="1"/>
  <c r="BC78" i="1"/>
  <c r="BC77" i="1"/>
  <c r="BC76" i="1"/>
  <c r="BC75" i="1"/>
  <c r="BC74" i="1"/>
  <c r="BC73" i="1"/>
  <c r="BC72" i="1"/>
  <c r="BC71" i="1"/>
  <c r="BC70" i="1"/>
  <c r="BC69" i="1"/>
  <c r="BC68" i="1"/>
  <c r="BC67" i="1"/>
  <c r="BC66" i="1"/>
  <c r="BC65" i="1"/>
  <c r="BC63" i="1"/>
  <c r="BC61" i="1"/>
  <c r="BC60" i="1"/>
  <c r="BC58" i="1"/>
  <c r="BC57" i="1"/>
  <c r="BC56" i="1"/>
  <c r="BC55" i="1"/>
  <c r="BC54" i="1"/>
  <c r="BC53" i="1"/>
  <c r="BC52" i="1"/>
  <c r="BC51" i="1"/>
  <c r="BC50" i="1"/>
  <c r="BC49" i="1"/>
  <c r="BC48" i="1"/>
  <c r="BC47" i="1"/>
  <c r="BC46" i="1"/>
  <c r="BC45" i="1"/>
  <c r="BC44" i="1"/>
  <c r="BC43" i="1"/>
  <c r="BC42" i="1"/>
  <c r="BC41" i="1"/>
  <c r="BC40" i="1"/>
  <c r="BC39" i="1"/>
  <c r="BC38" i="1"/>
  <c r="BC37" i="1"/>
  <c r="BC36" i="1"/>
  <c r="BC35" i="1"/>
  <c r="BC34" i="1"/>
  <c r="BC33" i="1"/>
  <c r="BC32" i="1"/>
  <c r="BC31" i="1"/>
  <c r="BC30" i="1"/>
  <c r="BC29" i="1"/>
  <c r="BC28" i="1"/>
  <c r="BC27" i="1"/>
  <c r="BC26" i="1"/>
  <c r="BC25" i="1"/>
  <c r="BC24" i="1"/>
  <c r="BC23" i="1"/>
  <c r="BC22" i="1"/>
  <c r="BC21" i="1"/>
  <c r="BC20" i="1"/>
  <c r="BC18" i="1"/>
  <c r="BC17" i="1"/>
  <c r="BC16" i="1"/>
  <c r="BC15" i="1"/>
  <c r="BC14" i="1"/>
  <c r="BC13" i="1"/>
  <c r="BC12" i="1"/>
  <c r="BC11" i="1"/>
  <c r="BC10" i="1"/>
  <c r="BC9" i="1"/>
  <c r="BC8" i="1"/>
  <c r="BC7" i="1"/>
  <c r="BC6" i="1"/>
  <c r="BC5" i="1"/>
  <c r="BC4" i="1" l="1"/>
  <c r="AT4" i="1" l="1"/>
  <c r="AT5" i="1"/>
  <c r="AT6" i="1"/>
  <c r="AT7" i="1"/>
  <c r="AT8" i="1"/>
  <c r="AT9" i="1"/>
  <c r="AT10" i="1"/>
  <c r="AT11" i="1"/>
  <c r="AT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55" i="1"/>
  <c r="AT56" i="1"/>
  <c r="AT57" i="1"/>
  <c r="AT58" i="1"/>
  <c r="AT61" i="1"/>
  <c r="AT63" i="1"/>
  <c r="AT65" i="1"/>
  <c r="AT66" i="1"/>
  <c r="AT67" i="1"/>
  <c r="AT68" i="1"/>
  <c r="AT69" i="1"/>
  <c r="AT70" i="1"/>
  <c r="AT71" i="1"/>
  <c r="AT72" i="1"/>
  <c r="AT73" i="1"/>
  <c r="AT74" i="1"/>
  <c r="AT76" i="1"/>
  <c r="AT77" i="1"/>
  <c r="AT80" i="1"/>
  <c r="AT81" i="1"/>
  <c r="AT82" i="1"/>
  <c r="AT83" i="1"/>
  <c r="AT84" i="1"/>
  <c r="AT85" i="1"/>
  <c r="AT86" i="1"/>
  <c r="AT87" i="1"/>
  <c r="AT88" i="1"/>
  <c r="AT89" i="1"/>
  <c r="AT90" i="1"/>
  <c r="AT91" i="1"/>
  <c r="AT92" i="1"/>
  <c r="AT93" i="1"/>
  <c r="AT94" i="1"/>
  <c r="AT95" i="1"/>
  <c r="AT96" i="1"/>
  <c r="AT97" i="1"/>
  <c r="AT98" i="1"/>
  <c r="AT99" i="1"/>
  <c r="AT100" i="1"/>
  <c r="AT101" i="1"/>
  <c r="AT102" i="1"/>
  <c r="AT103" i="1"/>
  <c r="AT104" i="1"/>
  <c r="AT105" i="1"/>
  <c r="AT106" i="1"/>
  <c r="AT107" i="1"/>
  <c r="AT108" i="1"/>
  <c r="AT109" i="1"/>
  <c r="AT110" i="1"/>
  <c r="AT111" i="1"/>
  <c r="AT112" i="1"/>
  <c r="AT113" i="1"/>
  <c r="AT114" i="1"/>
  <c r="AT115" i="1"/>
  <c r="AT116" i="1"/>
  <c r="AT117" i="1"/>
  <c r="AT118" i="1"/>
  <c r="AT119" i="1"/>
  <c r="AT120" i="1"/>
  <c r="AT121" i="1"/>
  <c r="AT122" i="1"/>
  <c r="AT123" i="1"/>
  <c r="AT124" i="1"/>
  <c r="AT125" i="1"/>
  <c r="AT126" i="1"/>
  <c r="AT128" i="1"/>
  <c r="AT129" i="1"/>
  <c r="AT130" i="1"/>
  <c r="AT131" i="1"/>
  <c r="AT132" i="1"/>
  <c r="AT133" i="1"/>
  <c r="AT134" i="1"/>
  <c r="AT135" i="1"/>
  <c r="AT136" i="1"/>
  <c r="AT138" i="1"/>
  <c r="AT139" i="1"/>
  <c r="AT141" i="1"/>
  <c r="AT143" i="1"/>
  <c r="AT144" i="1"/>
  <c r="AT145" i="1"/>
  <c r="AT146" i="1"/>
  <c r="AT147" i="1"/>
  <c r="AT148" i="1"/>
  <c r="AT149" i="1"/>
  <c r="AT150" i="1"/>
  <c r="AT151" i="1"/>
  <c r="AT152" i="1"/>
  <c r="AT153" i="1"/>
  <c r="AT155" i="1"/>
  <c r="AT156" i="1"/>
  <c r="AW4" i="1" l="1"/>
  <c r="AX4" i="1"/>
  <c r="AY4" i="1"/>
  <c r="AW5" i="1"/>
  <c r="AX5" i="1"/>
  <c r="AY5" i="1"/>
  <c r="AW6" i="1"/>
  <c r="AX6" i="1"/>
  <c r="AY6" i="1"/>
  <c r="AW7" i="1"/>
  <c r="AX7" i="1"/>
  <c r="AY7" i="1"/>
  <c r="AW8" i="1"/>
  <c r="AX8" i="1"/>
  <c r="AY8" i="1"/>
  <c r="AW9" i="1"/>
  <c r="AX9" i="1"/>
  <c r="AY9" i="1"/>
  <c r="AW10" i="1"/>
  <c r="AX10" i="1"/>
  <c r="AY10" i="1"/>
  <c r="AW11" i="1"/>
  <c r="AX11" i="1"/>
  <c r="AY11" i="1"/>
  <c r="AW12" i="1"/>
  <c r="AX12" i="1"/>
  <c r="AY12" i="1"/>
  <c r="AW13" i="1"/>
  <c r="AX13" i="1"/>
  <c r="AY13" i="1"/>
  <c r="AW14" i="1"/>
  <c r="AX14" i="1"/>
  <c r="AY14" i="1"/>
  <c r="AW15" i="1"/>
  <c r="AX15" i="1"/>
  <c r="AY15" i="1"/>
  <c r="AW16" i="1"/>
  <c r="AX16" i="1"/>
  <c r="AY16" i="1"/>
  <c r="AW17" i="1"/>
  <c r="AX17" i="1"/>
  <c r="AY17" i="1"/>
  <c r="AW18" i="1"/>
  <c r="AX18" i="1"/>
  <c r="AY18" i="1"/>
  <c r="AW19" i="1"/>
  <c r="AX19" i="1"/>
  <c r="AY19" i="1"/>
  <c r="AW20" i="1"/>
  <c r="AX20" i="1"/>
  <c r="AY20" i="1"/>
  <c r="AW21" i="1"/>
  <c r="AX21" i="1"/>
  <c r="AY21" i="1"/>
  <c r="AW22" i="1"/>
  <c r="AX22" i="1"/>
  <c r="AY22" i="1"/>
  <c r="AW23" i="1"/>
  <c r="AX23" i="1"/>
  <c r="AY23" i="1"/>
  <c r="AW24" i="1"/>
  <c r="AX24" i="1"/>
  <c r="AY24" i="1"/>
  <c r="AW25" i="1"/>
  <c r="AX25" i="1"/>
  <c r="AY25" i="1"/>
  <c r="AW26" i="1"/>
  <c r="AX26" i="1"/>
  <c r="AY26" i="1"/>
  <c r="AW27" i="1"/>
  <c r="AX27" i="1"/>
  <c r="AY27" i="1"/>
  <c r="AW28" i="1"/>
  <c r="AX28" i="1"/>
  <c r="AY28" i="1"/>
  <c r="AW29" i="1"/>
  <c r="AX29" i="1"/>
  <c r="AY29" i="1"/>
  <c r="AW30" i="1"/>
  <c r="AX30" i="1"/>
  <c r="AY30" i="1"/>
  <c r="AW31" i="1"/>
  <c r="AX31" i="1"/>
  <c r="AY31" i="1"/>
  <c r="AW32" i="1"/>
  <c r="AX32" i="1"/>
  <c r="AY32" i="1"/>
  <c r="AW33" i="1"/>
  <c r="AX33" i="1"/>
  <c r="AY33" i="1"/>
  <c r="AW34" i="1"/>
  <c r="AX34" i="1"/>
  <c r="AY34" i="1"/>
  <c r="AW35" i="1"/>
  <c r="AX35" i="1"/>
  <c r="AY35" i="1"/>
  <c r="AW36" i="1"/>
  <c r="AX36" i="1"/>
  <c r="AY36" i="1"/>
  <c r="AW37" i="1"/>
  <c r="AX37" i="1"/>
  <c r="AY37" i="1"/>
  <c r="AW38" i="1"/>
  <c r="AX38" i="1"/>
  <c r="AY38" i="1"/>
  <c r="AW39" i="1"/>
  <c r="AX39" i="1"/>
  <c r="AY39" i="1"/>
  <c r="AW40" i="1"/>
  <c r="AX40" i="1"/>
  <c r="AY40" i="1"/>
  <c r="AW41" i="1"/>
  <c r="AX41" i="1"/>
  <c r="AY41" i="1"/>
  <c r="AW42" i="1"/>
  <c r="AX42" i="1"/>
  <c r="AY42" i="1"/>
  <c r="AW43" i="1"/>
  <c r="AX43" i="1"/>
  <c r="AY43" i="1"/>
  <c r="AW44" i="1"/>
  <c r="AX44" i="1"/>
  <c r="AY44" i="1"/>
  <c r="AW45" i="1"/>
  <c r="AX45" i="1"/>
  <c r="AY45" i="1"/>
  <c r="AW46" i="1"/>
  <c r="AX46" i="1"/>
  <c r="AY46" i="1"/>
  <c r="AW47" i="1"/>
  <c r="AX47" i="1"/>
  <c r="AY47" i="1"/>
  <c r="AW48" i="1"/>
  <c r="AX48" i="1"/>
  <c r="AY48" i="1"/>
  <c r="AW49" i="1"/>
  <c r="AX49" i="1"/>
  <c r="AY49" i="1"/>
  <c r="AW50" i="1"/>
  <c r="AX50" i="1"/>
  <c r="AY50" i="1"/>
  <c r="AW51" i="1"/>
  <c r="AX51" i="1"/>
  <c r="AY51" i="1"/>
  <c r="AW52" i="1"/>
  <c r="AX52" i="1"/>
  <c r="AY52" i="1"/>
  <c r="AW53" i="1"/>
  <c r="AX53" i="1"/>
  <c r="AY53" i="1"/>
  <c r="AW54" i="1"/>
  <c r="AX54" i="1"/>
  <c r="AY54" i="1"/>
  <c r="AW55" i="1"/>
  <c r="AX55" i="1"/>
  <c r="AY55" i="1"/>
  <c r="AW56" i="1"/>
  <c r="AX56" i="1"/>
  <c r="AY56" i="1"/>
  <c r="AW57" i="1"/>
  <c r="AX57" i="1"/>
  <c r="AY57" i="1"/>
  <c r="AW58" i="1"/>
  <c r="AX58" i="1"/>
  <c r="AY58" i="1"/>
  <c r="AW59" i="1"/>
  <c r="AX59" i="1"/>
  <c r="AY59" i="1"/>
  <c r="AW60" i="1"/>
  <c r="AX60" i="1"/>
  <c r="AY60" i="1"/>
  <c r="AW61" i="1"/>
  <c r="AX61" i="1"/>
  <c r="AY61" i="1"/>
  <c r="AW62" i="1"/>
  <c r="AX62" i="1"/>
  <c r="AY62" i="1"/>
  <c r="AW63" i="1"/>
  <c r="AX63" i="1"/>
  <c r="AY63" i="1"/>
  <c r="AW64" i="1"/>
  <c r="AX64" i="1"/>
  <c r="AY64" i="1"/>
  <c r="AW65" i="1"/>
  <c r="AX65" i="1"/>
  <c r="AY65" i="1"/>
  <c r="AW66" i="1"/>
  <c r="AX66" i="1"/>
  <c r="AY66" i="1"/>
  <c r="AW67" i="1"/>
  <c r="AX67" i="1"/>
  <c r="AY67" i="1"/>
  <c r="AW68" i="1"/>
  <c r="AX68" i="1"/>
  <c r="AY68" i="1"/>
  <c r="AW69" i="1"/>
  <c r="AX69" i="1"/>
  <c r="AY69" i="1"/>
  <c r="AW70" i="1"/>
  <c r="AX70" i="1"/>
  <c r="AY70" i="1"/>
  <c r="AW71" i="1"/>
  <c r="AX71" i="1"/>
  <c r="AY71" i="1"/>
  <c r="AW72" i="1"/>
  <c r="AX72" i="1"/>
  <c r="AY72" i="1"/>
  <c r="AW73" i="1"/>
  <c r="AX73" i="1"/>
  <c r="AY73" i="1"/>
  <c r="AW74" i="1"/>
  <c r="AX74" i="1"/>
  <c r="AY74" i="1"/>
  <c r="AW75" i="1"/>
  <c r="AX75" i="1"/>
  <c r="AY75" i="1"/>
  <c r="AW76" i="1"/>
  <c r="AX76" i="1"/>
  <c r="AY76" i="1"/>
  <c r="AW77" i="1"/>
  <c r="AX77" i="1"/>
  <c r="AY77" i="1"/>
  <c r="AW78" i="1"/>
  <c r="AX78" i="1"/>
  <c r="AY78" i="1"/>
  <c r="AW79" i="1"/>
  <c r="AX79" i="1"/>
  <c r="AY79" i="1"/>
  <c r="AW80" i="1"/>
  <c r="AX80" i="1"/>
  <c r="AY80" i="1"/>
  <c r="AW81" i="1"/>
  <c r="AX81" i="1"/>
  <c r="AY81" i="1"/>
  <c r="AW82" i="1"/>
  <c r="AX82" i="1"/>
  <c r="AY82" i="1"/>
  <c r="AW83" i="1"/>
  <c r="AX83" i="1"/>
  <c r="AY83" i="1"/>
  <c r="AW84" i="1"/>
  <c r="AX84" i="1"/>
  <c r="AY84" i="1"/>
  <c r="AW85" i="1"/>
  <c r="AX85" i="1"/>
  <c r="AY85" i="1"/>
  <c r="AW86" i="1"/>
  <c r="AX86" i="1"/>
  <c r="AY86" i="1"/>
  <c r="AW87" i="1"/>
  <c r="AX87" i="1"/>
  <c r="AY87" i="1"/>
  <c r="AW88" i="1"/>
  <c r="AX88" i="1"/>
  <c r="AY88" i="1"/>
  <c r="AW89" i="1"/>
  <c r="AX89" i="1"/>
  <c r="AY89" i="1"/>
  <c r="AW90" i="1"/>
  <c r="AX90" i="1"/>
  <c r="AY90" i="1"/>
  <c r="AW91" i="1"/>
  <c r="AX91" i="1"/>
  <c r="AY91" i="1"/>
  <c r="AW92" i="1"/>
  <c r="AX92" i="1"/>
  <c r="AY92" i="1"/>
  <c r="AW93" i="1"/>
  <c r="AX93" i="1"/>
  <c r="AY93" i="1"/>
  <c r="AW94" i="1"/>
  <c r="AX94" i="1"/>
  <c r="AY94" i="1"/>
  <c r="AW95" i="1"/>
  <c r="AX95" i="1"/>
  <c r="AY95" i="1"/>
  <c r="AW96" i="1"/>
  <c r="AX96" i="1"/>
  <c r="AY96" i="1"/>
  <c r="AW97" i="1"/>
  <c r="AX97" i="1"/>
  <c r="AY97" i="1"/>
  <c r="AW98" i="1"/>
  <c r="AX98" i="1"/>
  <c r="AY98" i="1"/>
  <c r="AW99" i="1"/>
  <c r="AX99" i="1"/>
  <c r="AY99" i="1"/>
  <c r="AW100" i="1"/>
  <c r="AX100" i="1"/>
  <c r="AY100" i="1"/>
  <c r="AW101" i="1"/>
  <c r="AX101" i="1"/>
  <c r="AY101" i="1"/>
  <c r="AW102" i="1"/>
  <c r="AX102" i="1"/>
  <c r="AY102" i="1"/>
  <c r="AW103" i="1"/>
  <c r="AX103" i="1"/>
  <c r="AY103" i="1"/>
  <c r="AW104" i="1"/>
  <c r="AX104" i="1"/>
  <c r="AY104" i="1"/>
  <c r="AW105" i="1"/>
  <c r="AX105" i="1"/>
  <c r="AY105" i="1"/>
  <c r="AW106" i="1"/>
  <c r="AX106" i="1"/>
  <c r="AY106" i="1"/>
  <c r="AW107" i="1"/>
  <c r="AX107" i="1"/>
  <c r="AY107" i="1"/>
  <c r="AW108" i="1"/>
  <c r="AX108" i="1"/>
  <c r="AY108" i="1"/>
  <c r="AW109" i="1"/>
  <c r="AX109" i="1"/>
  <c r="AY109" i="1"/>
  <c r="AW110" i="1"/>
  <c r="AX110" i="1"/>
  <c r="AY110" i="1"/>
  <c r="AW111" i="1"/>
  <c r="AX111" i="1"/>
  <c r="AY111" i="1"/>
  <c r="AW112" i="1"/>
  <c r="AX112" i="1"/>
  <c r="AY112" i="1"/>
  <c r="AW113" i="1"/>
  <c r="AX113" i="1"/>
  <c r="AY113" i="1"/>
  <c r="AW114" i="1"/>
  <c r="AX114" i="1"/>
  <c r="AY114" i="1"/>
  <c r="AW115" i="1"/>
  <c r="AX115" i="1"/>
  <c r="AY115" i="1"/>
  <c r="AW116" i="1"/>
  <c r="AX116" i="1"/>
  <c r="AY116" i="1"/>
  <c r="AW117" i="1"/>
  <c r="AX117" i="1"/>
  <c r="AY117" i="1"/>
  <c r="AW118" i="1"/>
  <c r="AX118" i="1"/>
  <c r="AY118" i="1"/>
  <c r="AW119" i="1"/>
  <c r="AX119" i="1"/>
  <c r="AY119" i="1"/>
  <c r="AW120" i="1"/>
  <c r="AX120" i="1"/>
  <c r="AY120" i="1"/>
  <c r="AW121" i="1"/>
  <c r="AX121" i="1"/>
  <c r="AY121" i="1"/>
  <c r="AW122" i="1"/>
  <c r="AX122" i="1"/>
  <c r="AY122" i="1"/>
  <c r="AW123" i="1"/>
  <c r="AX123" i="1"/>
  <c r="AY123" i="1"/>
  <c r="AW124" i="1"/>
  <c r="AX124" i="1"/>
  <c r="AY124" i="1"/>
  <c r="AW125" i="1"/>
  <c r="AX125" i="1"/>
  <c r="AY125" i="1"/>
  <c r="AW126" i="1"/>
  <c r="AX126" i="1"/>
  <c r="AY126" i="1"/>
  <c r="AW127" i="1"/>
  <c r="AX127" i="1"/>
  <c r="AY127" i="1"/>
  <c r="AW128" i="1"/>
  <c r="AX128" i="1"/>
  <c r="AY128" i="1"/>
  <c r="AW129" i="1"/>
  <c r="AX129" i="1"/>
  <c r="AY129" i="1"/>
  <c r="AW130" i="1"/>
  <c r="AX130" i="1"/>
  <c r="AY130" i="1"/>
  <c r="AW131" i="1"/>
  <c r="AX131" i="1"/>
  <c r="AY131" i="1"/>
  <c r="AW132" i="1"/>
  <c r="AX132" i="1"/>
  <c r="AY132" i="1"/>
  <c r="AW133" i="1"/>
  <c r="AX133" i="1"/>
  <c r="AY133" i="1"/>
  <c r="AW134" i="1"/>
  <c r="AX134" i="1"/>
  <c r="AY134" i="1"/>
  <c r="AW135" i="1"/>
  <c r="AX135" i="1"/>
  <c r="AY135" i="1"/>
  <c r="AW136" i="1"/>
  <c r="AX136" i="1"/>
  <c r="AY136" i="1"/>
  <c r="AW137" i="1"/>
  <c r="AX137" i="1"/>
  <c r="AY137" i="1"/>
  <c r="AW138" i="1"/>
  <c r="AX138" i="1"/>
  <c r="AY138" i="1"/>
  <c r="AW139" i="1"/>
  <c r="AX139" i="1"/>
  <c r="AY139" i="1"/>
  <c r="AW140" i="1"/>
  <c r="AX140" i="1"/>
  <c r="AY140" i="1"/>
  <c r="AW141" i="1"/>
  <c r="AX141" i="1"/>
  <c r="AY141" i="1"/>
  <c r="AW142" i="1"/>
  <c r="AX142" i="1"/>
  <c r="AY142" i="1"/>
  <c r="AW143" i="1"/>
  <c r="AX143" i="1"/>
  <c r="AY143" i="1"/>
  <c r="AW144" i="1"/>
  <c r="AX144" i="1"/>
  <c r="AY144" i="1"/>
  <c r="AW145" i="1"/>
  <c r="AX145" i="1"/>
  <c r="AY145" i="1"/>
  <c r="AW146" i="1"/>
  <c r="AX146" i="1"/>
  <c r="AY146" i="1"/>
  <c r="AW147" i="1"/>
  <c r="AX147" i="1"/>
  <c r="AY147" i="1"/>
  <c r="AW148" i="1"/>
  <c r="AX148" i="1"/>
  <c r="AY148" i="1"/>
  <c r="AW149" i="1"/>
  <c r="AX149" i="1"/>
  <c r="AY149" i="1"/>
  <c r="AW150" i="1"/>
  <c r="AX150" i="1"/>
  <c r="AY150" i="1"/>
  <c r="AW151" i="1"/>
  <c r="AX151" i="1"/>
  <c r="AY151" i="1"/>
  <c r="AW152" i="1"/>
  <c r="AX152" i="1"/>
  <c r="AY152" i="1"/>
  <c r="AW153" i="1"/>
  <c r="AX153" i="1"/>
  <c r="AY153" i="1"/>
  <c r="AW154" i="1"/>
  <c r="AX154" i="1"/>
  <c r="AY154" i="1"/>
  <c r="AW155" i="1"/>
  <c r="AX155" i="1"/>
  <c r="AY155" i="1"/>
  <c r="AW156" i="1"/>
  <c r="AX156" i="1"/>
  <c r="AY156" i="1"/>
  <c r="AQ4" i="1"/>
  <c r="AQ5" i="1"/>
  <c r="AQ6" i="1"/>
  <c r="AQ7" i="1"/>
  <c r="AQ8" i="1"/>
  <c r="AQ9" i="1"/>
  <c r="AQ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55" i="1"/>
  <c r="AQ56" i="1"/>
  <c r="AQ57" i="1"/>
  <c r="AQ58" i="1"/>
  <c r="AQ59" i="1"/>
  <c r="AQ60" i="1"/>
  <c r="AQ61" i="1"/>
  <c r="AQ62" i="1"/>
  <c r="AQ63" i="1"/>
  <c r="AQ64"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Q103" i="1"/>
  <c r="AQ104" i="1"/>
  <c r="AQ105" i="1"/>
  <c r="AQ106" i="1"/>
  <c r="AQ107" i="1"/>
  <c r="AQ108" i="1"/>
  <c r="AQ109" i="1"/>
  <c r="AQ110" i="1"/>
  <c r="AQ111" i="1"/>
  <c r="AQ112" i="1"/>
  <c r="AQ113" i="1"/>
  <c r="AQ114" i="1"/>
  <c r="AQ115" i="1"/>
  <c r="AQ116" i="1"/>
  <c r="AQ117" i="1"/>
  <c r="AQ118" i="1"/>
  <c r="AQ119" i="1"/>
  <c r="AQ120" i="1"/>
  <c r="AQ121" i="1"/>
  <c r="AQ122" i="1"/>
  <c r="AQ123" i="1"/>
  <c r="AQ124" i="1"/>
  <c r="AQ125" i="1"/>
  <c r="AQ126" i="1"/>
  <c r="AQ127" i="1"/>
  <c r="AQ128" i="1"/>
  <c r="AQ129" i="1"/>
  <c r="AQ130" i="1"/>
  <c r="AQ131" i="1"/>
  <c r="AQ132" i="1"/>
  <c r="AQ133" i="1"/>
  <c r="AQ134" i="1"/>
  <c r="AQ135" i="1"/>
  <c r="AQ136" i="1"/>
  <c r="AQ137" i="1"/>
  <c r="AQ138" i="1"/>
  <c r="AQ139" i="1"/>
  <c r="AQ140" i="1"/>
  <c r="AQ141" i="1"/>
  <c r="AQ142" i="1"/>
  <c r="AQ143" i="1"/>
  <c r="AQ144" i="1"/>
  <c r="AQ145" i="1"/>
  <c r="AQ146" i="1"/>
  <c r="AQ147" i="1"/>
  <c r="AQ148" i="1"/>
  <c r="AQ149" i="1"/>
  <c r="AQ150" i="1"/>
  <c r="AQ151" i="1"/>
  <c r="AQ152" i="1"/>
  <c r="AQ153" i="1"/>
  <c r="AQ154" i="1"/>
  <c r="AQ155" i="1"/>
  <c r="AQ156"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W31" i="59" l="1"/>
  <c r="T31" i="59"/>
  <c r="Q31" i="59"/>
  <c r="N31" i="59"/>
  <c r="K31" i="59"/>
  <c r="Y3" i="59"/>
  <c r="X3" i="59"/>
  <c r="W3" i="59"/>
  <c r="V3" i="59"/>
  <c r="U3" i="59"/>
  <c r="T3" i="59"/>
  <c r="S3" i="59"/>
  <c r="R3" i="59"/>
  <c r="Q3" i="59"/>
  <c r="P3" i="59"/>
  <c r="O3" i="59"/>
  <c r="N3" i="59"/>
  <c r="M3" i="59"/>
  <c r="L3" i="59"/>
  <c r="K3" i="59"/>
  <c r="I27" i="59"/>
  <c r="N27" i="59" s="1"/>
  <c r="I26" i="59"/>
  <c r="I25" i="59"/>
  <c r="U25" i="59" s="1"/>
  <c r="I24" i="59"/>
  <c r="S24" i="59" s="1"/>
  <c r="I23" i="59"/>
  <c r="S23" i="59" s="1"/>
  <c r="I22" i="59"/>
  <c r="Q22" i="59" s="1"/>
  <c r="I21" i="59"/>
  <c r="T21" i="59" s="1"/>
  <c r="I20" i="59"/>
  <c r="W20" i="59" s="1"/>
  <c r="I19" i="59"/>
  <c r="S19" i="59" s="1"/>
  <c r="I18" i="59"/>
  <c r="I17" i="59"/>
  <c r="X17" i="59" s="1"/>
  <c r="I16" i="59"/>
  <c r="R16" i="59" s="1"/>
  <c r="I15" i="59"/>
  <c r="T15" i="59" s="1"/>
  <c r="I12" i="59"/>
  <c r="X12" i="59" s="1" a="1"/>
  <c r="X12" i="59" s="1"/>
  <c r="W8" i="59"/>
  <c r="V8" i="59"/>
  <c r="U8" i="59"/>
  <c r="O8" i="59"/>
  <c r="N8" i="59"/>
  <c r="M8" i="59"/>
  <c r="J3" i="59"/>
  <c r="D29" i="59"/>
  <c r="T27" i="59"/>
  <c r="Y26" i="59"/>
  <c r="T26" i="59"/>
  <c r="Q26" i="59"/>
  <c r="M26" i="59"/>
  <c r="U26" i="59"/>
  <c r="X23" i="59"/>
  <c r="T23" i="59"/>
  <c r="R23" i="59"/>
  <c r="O23" i="59"/>
  <c r="K23" i="59"/>
  <c r="L22" i="59"/>
  <c r="V20" i="59"/>
  <c r="S20" i="59"/>
  <c r="O20" i="59"/>
  <c r="K20" i="59"/>
  <c r="X19" i="59"/>
  <c r="L19" i="59"/>
  <c r="O18" i="59"/>
  <c r="U18" i="59"/>
  <c r="N17" i="59"/>
  <c r="W16" i="59"/>
  <c r="S16" i="59"/>
  <c r="U15" i="59"/>
  <c r="S15" i="59"/>
  <c r="P15" i="59"/>
  <c r="L15" i="59"/>
  <c r="Y15" i="59"/>
  <c r="D9" i="59"/>
  <c r="D8" i="59"/>
  <c r="D7" i="59"/>
  <c r="D6" i="59"/>
  <c r="Y5" i="59" a="1"/>
  <c r="Y5" i="59" s="1"/>
  <c r="X5" i="59" a="1"/>
  <c r="X5" i="59" s="1"/>
  <c r="W5" i="59" a="1"/>
  <c r="W5" i="59" s="1"/>
  <c r="V5" i="59" a="1"/>
  <c r="V5" i="59" s="1"/>
  <c r="U5" i="59" a="1"/>
  <c r="U5" i="59" s="1"/>
  <c r="T5" i="59" a="1"/>
  <c r="T5" i="59" s="1"/>
  <c r="S5" i="59" a="1"/>
  <c r="S5" i="59" s="1"/>
  <c r="R5" i="59" a="1"/>
  <c r="R5" i="59" s="1"/>
  <c r="Q5" i="59" a="1"/>
  <c r="Q5" i="59" s="1"/>
  <c r="P5" i="59" a="1"/>
  <c r="P5" i="59" s="1"/>
  <c r="O5" i="59" a="1"/>
  <c r="O5" i="59" s="1"/>
  <c r="N5" i="59" a="1"/>
  <c r="N5" i="59" s="1"/>
  <c r="M5" i="59" a="1"/>
  <c r="M5" i="59" s="1"/>
  <c r="L5" i="59" a="1"/>
  <c r="L5" i="59" s="1"/>
  <c r="K5" i="59" a="1"/>
  <c r="K5" i="59" s="1"/>
  <c r="D5" i="59"/>
  <c r="Y4" i="59" a="1"/>
  <c r="Y4" i="59" s="1"/>
  <c r="X4" i="59" a="1"/>
  <c r="X4" i="59" s="1"/>
  <c r="W4" i="59" a="1"/>
  <c r="W4" i="59" s="1"/>
  <c r="V4" i="59" a="1"/>
  <c r="V4" i="59" s="1"/>
  <c r="U4" i="59" a="1"/>
  <c r="U4" i="59" s="1"/>
  <c r="T4" i="59" a="1"/>
  <c r="T4" i="59" s="1"/>
  <c r="S4" i="59" a="1"/>
  <c r="S4" i="59" s="1"/>
  <c r="R4" i="59" a="1"/>
  <c r="R4" i="59" s="1"/>
  <c r="Q4" i="59" a="1"/>
  <c r="Q4" i="59" s="1"/>
  <c r="P4" i="59" a="1"/>
  <c r="P4" i="59" s="1"/>
  <c r="O4" i="59" a="1"/>
  <c r="O4" i="59" s="1"/>
  <c r="N4" i="59" a="1"/>
  <c r="N4" i="59" s="1"/>
  <c r="M4" i="59" a="1"/>
  <c r="M4" i="59" s="1"/>
  <c r="L4" i="59" a="1"/>
  <c r="L4" i="59" s="1"/>
  <c r="K4" i="59" a="1"/>
  <c r="K4" i="59" s="1"/>
  <c r="D4" i="59"/>
  <c r="D3" i="59"/>
  <c r="J2" i="59"/>
  <c r="G10" i="58"/>
  <c r="G11" i="58"/>
  <c r="G12" i="58"/>
  <c r="G13" i="58"/>
  <c r="G5" i="58"/>
  <c r="G14" i="58"/>
  <c r="G15" i="58"/>
  <c r="G16" i="58"/>
  <c r="G3" i="58"/>
  <c r="G17" i="58"/>
  <c r="G18" i="58"/>
  <c r="G19" i="58"/>
  <c r="G20" i="58"/>
  <c r="G21" i="58"/>
  <c r="G4" i="58"/>
  <c r="G22" i="58"/>
  <c r="G6" i="58"/>
  <c r="G23" i="58"/>
  <c r="G7" i="58"/>
  <c r="G8" i="58"/>
  <c r="G24" i="58"/>
  <c r="G25" i="58"/>
  <c r="G26" i="58"/>
  <c r="G9" i="58"/>
  <c r="D10" i="58" a="1"/>
  <c r="D10" i="58" s="1"/>
  <c r="E10" i="58" s="1"/>
  <c r="D11" i="58" a="1"/>
  <c r="D11" i="58" s="1"/>
  <c r="E11" i="58" s="1"/>
  <c r="D12" i="58" a="1"/>
  <c r="D12" i="58" s="1"/>
  <c r="E12" i="58" s="1"/>
  <c r="D13" i="58" a="1"/>
  <c r="D13" i="58" s="1"/>
  <c r="E13" i="58" s="1"/>
  <c r="D5" i="58" a="1"/>
  <c r="D5" i="58" s="1"/>
  <c r="E5" i="58" s="1"/>
  <c r="D14" i="58" a="1"/>
  <c r="D14" i="58" s="1"/>
  <c r="E14" i="58" s="1"/>
  <c r="D15" i="58" a="1"/>
  <c r="D15" i="58" s="1"/>
  <c r="E15" i="58" s="1"/>
  <c r="D16" i="58" a="1"/>
  <c r="D16" i="58" s="1"/>
  <c r="E16" i="58" s="1"/>
  <c r="D3" i="58" a="1"/>
  <c r="D3" i="58" s="1"/>
  <c r="E3" i="58" s="1"/>
  <c r="D17" i="58" a="1"/>
  <c r="D17" i="58" s="1"/>
  <c r="E17" i="58" s="1"/>
  <c r="D18" i="58" a="1"/>
  <c r="D18" i="58" s="1"/>
  <c r="E18" i="58" s="1"/>
  <c r="D19" i="58" a="1"/>
  <c r="D19" i="58" s="1"/>
  <c r="E19" i="58" s="1"/>
  <c r="D20" i="58" a="1"/>
  <c r="D20" i="58" s="1"/>
  <c r="E20" i="58" s="1"/>
  <c r="D21" i="58" a="1"/>
  <c r="D21" i="58" s="1"/>
  <c r="E21" i="58" s="1"/>
  <c r="D4" i="58" a="1"/>
  <c r="D4" i="58" s="1"/>
  <c r="E4" i="58" s="1"/>
  <c r="D22" i="58" a="1"/>
  <c r="D22" i="58" s="1"/>
  <c r="E22" i="58" s="1"/>
  <c r="D6" i="58" a="1"/>
  <c r="D6" i="58" s="1"/>
  <c r="E6" i="58" s="1"/>
  <c r="D23" i="58" a="1"/>
  <c r="D23" i="58" s="1"/>
  <c r="E23" i="58" s="1"/>
  <c r="D7" i="58" a="1"/>
  <c r="D7" i="58" s="1"/>
  <c r="E7" i="58" s="1"/>
  <c r="D8" i="58" a="1"/>
  <c r="D8" i="58" s="1"/>
  <c r="E8" i="58" s="1"/>
  <c r="D24" i="58" a="1"/>
  <c r="D24" i="58" s="1"/>
  <c r="E24" i="58" s="1"/>
  <c r="D25" i="58" a="1"/>
  <c r="D25" i="58" s="1"/>
  <c r="E25" i="58" s="1"/>
  <c r="D26" i="58" a="1"/>
  <c r="D26" i="58" s="1"/>
  <c r="E26" i="58" s="1"/>
  <c r="D9" i="58" a="1"/>
  <c r="D9" i="58" s="1"/>
  <c r="E9" i="58" s="1"/>
  <c r="L37" i="25"/>
  <c r="I11" i="59"/>
  <c r="I10" i="59"/>
  <c r="I9" i="59"/>
  <c r="T9" i="59" s="1" a="1"/>
  <c r="T9" i="59" s="1"/>
  <c r="T8" i="59"/>
  <c r="U17" i="59" l="1"/>
  <c r="N20" i="59"/>
  <c r="X20" i="59"/>
  <c r="P20" i="59"/>
  <c r="S22" i="59"/>
  <c r="R20" i="59"/>
  <c r="Y20" i="59"/>
  <c r="U20" i="59"/>
  <c r="Q17" i="59"/>
  <c r="M20" i="59"/>
  <c r="Y16" i="59"/>
  <c r="Y22" i="59"/>
  <c r="T22" i="59"/>
  <c r="O16" i="59"/>
  <c r="N24" i="59"/>
  <c r="V12" i="59" a="1"/>
  <c r="V12" i="59" s="1"/>
  <c r="W10" i="59" a="1"/>
  <c r="W10" i="59" s="1"/>
  <c r="L10" i="59" a="1"/>
  <c r="L10" i="59" s="1"/>
  <c r="T10" i="59" a="1"/>
  <c r="T10" i="59" s="1"/>
  <c r="L11" i="59" a="1"/>
  <c r="L11" i="59" s="1"/>
  <c r="T11" i="59" a="1"/>
  <c r="T11" i="59" s="1"/>
  <c r="N12" i="59" a="1"/>
  <c r="N12" i="59" s="1"/>
  <c r="O12" i="59" a="1"/>
  <c r="O12" i="59" s="1"/>
  <c r="R12" i="59" a="1"/>
  <c r="R12" i="59" s="1"/>
  <c r="P8" i="59"/>
  <c r="X8" i="59"/>
  <c r="T12" i="59" a="1"/>
  <c r="T12" i="59" s="1"/>
  <c r="Q8" i="59"/>
  <c r="Y8" i="59"/>
  <c r="I7" i="59"/>
  <c r="W7" i="59" s="1" a="1"/>
  <c r="W7" i="59" s="1"/>
  <c r="R8" i="59"/>
  <c r="K8" i="59"/>
  <c r="S8" i="59"/>
  <c r="L8" i="59"/>
  <c r="L9" i="59" a="1"/>
  <c r="L9" i="59" s="1"/>
  <c r="M15" i="59"/>
  <c r="V15" i="59"/>
  <c r="T19" i="59"/>
  <c r="L23" i="59"/>
  <c r="U23" i="59"/>
  <c r="O27" i="59"/>
  <c r="W9" i="59" a="1"/>
  <c r="W9" i="59" s="1"/>
  <c r="N15" i="59"/>
  <c r="W15" i="59"/>
  <c r="R19" i="59"/>
  <c r="V19" i="59"/>
  <c r="M23" i="59"/>
  <c r="V23" i="59"/>
  <c r="P27" i="59"/>
  <c r="O15" i="59"/>
  <c r="X15" i="59"/>
  <c r="P17" i="59"/>
  <c r="K19" i="59"/>
  <c r="W19" i="59"/>
  <c r="N23" i="59"/>
  <c r="W23" i="59"/>
  <c r="S27" i="59"/>
  <c r="R15" i="59"/>
  <c r="K16" i="59"/>
  <c r="R17" i="59"/>
  <c r="N19" i="59"/>
  <c r="P23" i="59"/>
  <c r="R27" i="59"/>
  <c r="V27" i="59"/>
  <c r="K15" i="59"/>
  <c r="P19" i="59"/>
  <c r="Y23" i="59"/>
  <c r="L27" i="59"/>
  <c r="X27" i="59"/>
  <c r="O19" i="59"/>
  <c r="K27" i="59"/>
  <c r="W27" i="59"/>
  <c r="D2" i="59"/>
  <c r="J5" i="59"/>
  <c r="J4" i="59"/>
  <c r="J6" i="59" s="1"/>
  <c r="R9" i="59" a="1"/>
  <c r="R9" i="59" s="1"/>
  <c r="R10" i="59" a="1"/>
  <c r="R10" i="59" s="1"/>
  <c r="R11" i="59" a="1"/>
  <c r="R11" i="59" s="1"/>
  <c r="X11" i="59" a="1"/>
  <c r="X11" i="59" s="1"/>
  <c r="P18" i="59"/>
  <c r="V21" i="59"/>
  <c r="O24" i="59"/>
  <c r="X25" i="59"/>
  <c r="S9" i="59" a="1"/>
  <c r="S9" i="59" s="1"/>
  <c r="X9" i="59" a="1"/>
  <c r="X9" i="59" s="1"/>
  <c r="S10" i="59" a="1"/>
  <c r="S10" i="59" s="1"/>
  <c r="X10" i="59" a="1"/>
  <c r="X10" i="59" s="1"/>
  <c r="S11" i="59" a="1"/>
  <c r="S11" i="59" s="1"/>
  <c r="N16" i="59"/>
  <c r="T17" i="59"/>
  <c r="L17" i="59"/>
  <c r="S17" i="59"/>
  <c r="K17" i="59"/>
  <c r="W17" i="59"/>
  <c r="O17" i="59"/>
  <c r="V17" i="59"/>
  <c r="Q18" i="59"/>
  <c r="L21" i="59"/>
  <c r="Y21" i="59"/>
  <c r="Q24" i="59"/>
  <c r="M25" i="59"/>
  <c r="Y25" i="59"/>
  <c r="N9" i="59" a="1"/>
  <c r="N9" i="59" s="1"/>
  <c r="N10" i="59" a="1"/>
  <c r="N10" i="59" s="1"/>
  <c r="N11" i="59" a="1"/>
  <c r="N11" i="59" s="1"/>
  <c r="Y12" i="59" a="1"/>
  <c r="Y12" i="59" s="1"/>
  <c r="U12" i="59" a="1"/>
  <c r="U12" i="59" s="1"/>
  <c r="Q12" i="59" a="1"/>
  <c r="Q12" i="59" s="1"/>
  <c r="M12" i="59" a="1"/>
  <c r="M12" i="59" s="1"/>
  <c r="P12" i="59" a="1"/>
  <c r="P12" i="59" s="1"/>
  <c r="W12" i="59" a="1"/>
  <c r="W12" i="59" s="1"/>
  <c r="T18" i="59"/>
  <c r="M21" i="59"/>
  <c r="W22" i="59"/>
  <c r="O22" i="59"/>
  <c r="V22" i="59"/>
  <c r="N22" i="59"/>
  <c r="R22" i="59"/>
  <c r="U22" i="59"/>
  <c r="R24" i="59"/>
  <c r="N25" i="59"/>
  <c r="S26" i="59"/>
  <c r="K26" i="59"/>
  <c r="R26" i="59"/>
  <c r="V26" i="59"/>
  <c r="N26" i="59"/>
  <c r="W26" i="59"/>
  <c r="O9" i="59" a="1"/>
  <c r="O9" i="59" s="1"/>
  <c r="O10" i="59" a="1"/>
  <c r="O10" i="59" s="1"/>
  <c r="O11" i="59" a="1"/>
  <c r="O11" i="59" s="1"/>
  <c r="K12" i="59" a="1"/>
  <c r="K12" i="59" s="1"/>
  <c r="Q16" i="59"/>
  <c r="M17" i="59"/>
  <c r="Y17" i="59"/>
  <c r="N21" i="59"/>
  <c r="K22" i="59"/>
  <c r="X22" i="59"/>
  <c r="P25" i="59"/>
  <c r="L26" i="59"/>
  <c r="X26" i="59"/>
  <c r="Y9" i="59" a="1"/>
  <c r="Y9" i="59" s="1"/>
  <c r="U9" i="59" a="1"/>
  <c r="U9" i="59" s="1"/>
  <c r="Q9" i="59" a="1"/>
  <c r="Q9" i="59" s="1"/>
  <c r="M9" i="59" a="1"/>
  <c r="M9" i="59" s="1"/>
  <c r="Y10" i="59" a="1"/>
  <c r="Y10" i="59" s="1"/>
  <c r="U10" i="59" a="1"/>
  <c r="U10" i="59" s="1"/>
  <c r="Q10" i="59" a="1"/>
  <c r="Q10" i="59" s="1"/>
  <c r="M10" i="59" a="1"/>
  <c r="M10" i="59" s="1"/>
  <c r="Y11" i="59" a="1"/>
  <c r="Y11" i="59" s="1"/>
  <c r="U11" i="59" a="1"/>
  <c r="U11" i="59" s="1"/>
  <c r="Q11" i="59" a="1"/>
  <c r="Q11" i="59" s="1"/>
  <c r="M11" i="59" a="1"/>
  <c r="M11" i="59" s="1"/>
  <c r="S18" i="59"/>
  <c r="K18" i="59"/>
  <c r="R18" i="59"/>
  <c r="V18" i="59"/>
  <c r="N18" i="59"/>
  <c r="W18" i="59"/>
  <c r="Q21" i="59"/>
  <c r="U24" i="59"/>
  <c r="M24" i="59"/>
  <c r="T24" i="59"/>
  <c r="L24" i="59"/>
  <c r="X24" i="59"/>
  <c r="P24" i="59"/>
  <c r="V24" i="59"/>
  <c r="Q25" i="59"/>
  <c r="K9" i="59" a="1"/>
  <c r="K9" i="59" s="1"/>
  <c r="P9" i="59" a="1"/>
  <c r="P9" i="59" s="1"/>
  <c r="K10" i="59" a="1"/>
  <c r="K10" i="59" s="1"/>
  <c r="P10" i="59" a="1"/>
  <c r="P10" i="59" s="1"/>
  <c r="K11" i="59" a="1"/>
  <c r="K11" i="59" s="1"/>
  <c r="P11" i="59" a="1"/>
  <c r="P11" i="59" s="1"/>
  <c r="V11" i="59" a="1"/>
  <c r="V11" i="59" s="1"/>
  <c r="L12" i="59" a="1"/>
  <c r="L12" i="59" s="1"/>
  <c r="S12" i="59" a="1"/>
  <c r="S12" i="59" s="1"/>
  <c r="L18" i="59"/>
  <c r="X18" i="59"/>
  <c r="R21" i="59"/>
  <c r="M22" i="59"/>
  <c r="W24" i="59"/>
  <c r="R25" i="59"/>
  <c r="O26" i="59"/>
  <c r="V9" i="59" a="1"/>
  <c r="V9" i="59" s="1"/>
  <c r="V10" i="59" a="1"/>
  <c r="V10" i="59" s="1"/>
  <c r="W11" i="59" a="1"/>
  <c r="W11" i="59" s="1"/>
  <c r="U16" i="59"/>
  <c r="M16" i="59"/>
  <c r="T16" i="59"/>
  <c r="L16" i="59"/>
  <c r="X16" i="59"/>
  <c r="P16" i="59"/>
  <c r="V16" i="59"/>
  <c r="M18" i="59"/>
  <c r="Y18" i="59"/>
  <c r="P22" i="59"/>
  <c r="K24" i="59"/>
  <c r="Y24" i="59"/>
  <c r="P26" i="59"/>
  <c r="X21" i="59"/>
  <c r="P21" i="59"/>
  <c r="W21" i="59"/>
  <c r="O21" i="59"/>
  <c r="S21" i="59"/>
  <c r="K21" i="59"/>
  <c r="U21" i="59"/>
  <c r="T25" i="59"/>
  <c r="L25" i="59"/>
  <c r="S25" i="59"/>
  <c r="K25" i="59"/>
  <c r="W25" i="59"/>
  <c r="O25" i="59"/>
  <c r="V25" i="59"/>
  <c r="Q15" i="59"/>
  <c r="M19" i="59"/>
  <c r="U19" i="59"/>
  <c r="L20" i="59"/>
  <c r="T20" i="59"/>
  <c r="Q23" i="59"/>
  <c r="M27" i="59"/>
  <c r="U27" i="59"/>
  <c r="Q19" i="59"/>
  <c r="Y19" i="59"/>
  <c r="Q27" i="59"/>
  <c r="Y27" i="59"/>
  <c r="Q20" i="59"/>
  <c r="L45" i="25"/>
  <c r="F14" i="25"/>
  <c r="F13" i="25"/>
  <c r="J15" i="59" l="1"/>
  <c r="J23" i="59"/>
  <c r="U7" i="59" a="1"/>
  <c r="U7" i="59" s="1"/>
  <c r="T7" i="59" a="1"/>
  <c r="T7" i="59" s="1"/>
  <c r="L7" i="59" a="1"/>
  <c r="L7" i="59" s="1"/>
  <c r="S7" i="59" a="1"/>
  <c r="S7" i="59" s="1"/>
  <c r="K7" i="59" a="1"/>
  <c r="K7" i="59" s="1"/>
  <c r="V7" i="59" a="1"/>
  <c r="V7" i="59" s="1"/>
  <c r="R7" i="59" a="1"/>
  <c r="R7" i="59" s="1"/>
  <c r="P7" i="59" a="1"/>
  <c r="P7" i="59" s="1"/>
  <c r="N7" i="59" a="1"/>
  <c r="N7" i="59" s="1"/>
  <c r="X7" i="59" a="1"/>
  <c r="X7" i="59" s="1"/>
  <c r="J8" i="59"/>
  <c r="O7" i="59" a="1"/>
  <c r="O7" i="59" s="1"/>
  <c r="M7" i="59" a="1"/>
  <c r="M7" i="59" s="1"/>
  <c r="Y7" i="59" a="1"/>
  <c r="Y7" i="59" s="1"/>
  <c r="Q7" i="59" a="1"/>
  <c r="Q7" i="59" s="1"/>
  <c r="J16" i="59"/>
  <c r="J27" i="59"/>
  <c r="F26" i="58" a="1"/>
  <c r="F26" i="58" s="1"/>
  <c r="F20" i="58" a="1"/>
  <c r="F20" i="58" s="1"/>
  <c r="F4" i="58" a="1"/>
  <c r="F4" i="58" s="1"/>
  <c r="F18" i="58" a="1"/>
  <c r="F18" i="58" s="1"/>
  <c r="F13" i="58" a="1"/>
  <c r="F13" i="58" s="1"/>
  <c r="F11" i="58" a="1"/>
  <c r="F11" i="58" s="1"/>
  <c r="F8" i="58" a="1"/>
  <c r="F8" i="58" s="1"/>
  <c r="F7" i="58" a="1"/>
  <c r="F7" i="58" s="1"/>
  <c r="F6" i="58" a="1"/>
  <c r="F6" i="58" s="1"/>
  <c r="F16" i="58" a="1"/>
  <c r="F16" i="58" s="1"/>
  <c r="F12" i="58" a="1"/>
  <c r="F12" i="58" s="1"/>
  <c r="F10" i="58" a="1"/>
  <c r="F10" i="58" s="1"/>
  <c r="F9" i="58" a="1"/>
  <c r="F9" i="58" s="1"/>
  <c r="F24" i="58" a="1"/>
  <c r="F24" i="58" s="1"/>
  <c r="F23" i="58" a="1"/>
  <c r="F23" i="58" s="1"/>
  <c r="F19" i="58" a="1"/>
  <c r="F19" i="58" s="1"/>
  <c r="F17" i="58" a="1"/>
  <c r="F17" i="58" s="1"/>
  <c r="F15" i="58" a="1"/>
  <c r="F15" i="58" s="1"/>
  <c r="F25" i="58" a="1"/>
  <c r="F25" i="58" s="1"/>
  <c r="F22" i="58" a="1"/>
  <c r="F22" i="58" s="1"/>
  <c r="F21" i="58" a="1"/>
  <c r="F21" i="58" s="1"/>
  <c r="F3" i="58" a="1"/>
  <c r="F3" i="58" s="1"/>
  <c r="F14" i="58" a="1"/>
  <c r="F14" i="58" s="1"/>
  <c r="F5" i="58" a="1"/>
  <c r="F5" i="58" s="1"/>
  <c r="J20" i="59"/>
  <c r="J19" i="59"/>
  <c r="J18" i="59"/>
  <c r="J17" i="59"/>
  <c r="J11" i="59"/>
  <c r="J24" i="59"/>
  <c r="J21" i="59"/>
  <c r="J10" i="59"/>
  <c r="J12" i="59"/>
  <c r="J9" i="59"/>
  <c r="J25" i="59"/>
  <c r="J22" i="59"/>
  <c r="J26" i="59"/>
  <c r="J14" i="59" l="1"/>
  <c r="J7" i="59"/>
  <c r="Z157"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BH4" i="1" l="1"/>
  <c r="BH5" i="1"/>
  <c r="BH6" i="1"/>
  <c r="BH7" i="1"/>
  <c r="BH8" i="1"/>
  <c r="BH9" i="1"/>
  <c r="BH10" i="1"/>
  <c r="BH11" i="1"/>
  <c r="BH12" i="1"/>
  <c r="BH13" i="1"/>
  <c r="BH14" i="1"/>
  <c r="BH15" i="1"/>
  <c r="BH16" i="1"/>
  <c r="BH17" i="1"/>
  <c r="BH18" i="1"/>
  <c r="BH19" i="1"/>
  <c r="BH20" i="1"/>
  <c r="BH21" i="1"/>
  <c r="BH22" i="1"/>
  <c r="BH23" i="1"/>
  <c r="BH24" i="1"/>
  <c r="BH25" i="1"/>
  <c r="BH26" i="1"/>
  <c r="BH27" i="1"/>
  <c r="BH28" i="1"/>
  <c r="BH29" i="1"/>
  <c r="BH30" i="1"/>
  <c r="BH31" i="1"/>
  <c r="BH32" i="1"/>
  <c r="BH33" i="1"/>
  <c r="BH34" i="1"/>
  <c r="BH35" i="1"/>
  <c r="BH36" i="1"/>
  <c r="BH37" i="1"/>
  <c r="BH38" i="1"/>
  <c r="BH39" i="1"/>
  <c r="BH40" i="1"/>
  <c r="BH41" i="1"/>
  <c r="BH42" i="1"/>
  <c r="BH43" i="1"/>
  <c r="BH44" i="1"/>
  <c r="BH45" i="1"/>
  <c r="BH46" i="1"/>
  <c r="BH47" i="1"/>
  <c r="BH48" i="1"/>
  <c r="BH49" i="1"/>
  <c r="BH50" i="1"/>
  <c r="BH51" i="1"/>
  <c r="BH52" i="1"/>
  <c r="BH53" i="1"/>
  <c r="BH54" i="1"/>
  <c r="BH55" i="1"/>
  <c r="BH56" i="1"/>
  <c r="BH57" i="1"/>
  <c r="BH58" i="1"/>
  <c r="BH59" i="1"/>
  <c r="BH60" i="1"/>
  <c r="BH61" i="1"/>
  <c r="BH62" i="1"/>
  <c r="BH63" i="1"/>
  <c r="BH64" i="1"/>
  <c r="BH65" i="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H101" i="1"/>
  <c r="BH102" i="1"/>
  <c r="BH103" i="1"/>
  <c r="BH104" i="1"/>
  <c r="BH105" i="1"/>
  <c r="BH106" i="1"/>
  <c r="BH107" i="1"/>
  <c r="BH108" i="1"/>
  <c r="BH109" i="1"/>
  <c r="BH110" i="1"/>
  <c r="BH111" i="1"/>
  <c r="BH112" i="1"/>
  <c r="BH113" i="1"/>
  <c r="BH114" i="1"/>
  <c r="BH115" i="1"/>
  <c r="BH116" i="1"/>
  <c r="BH117" i="1"/>
  <c r="BH118" i="1"/>
  <c r="BH119" i="1"/>
  <c r="BH120" i="1"/>
  <c r="BH121" i="1"/>
  <c r="BH122" i="1"/>
  <c r="BH123" i="1"/>
  <c r="BH124" i="1"/>
  <c r="BH125" i="1"/>
  <c r="BH126" i="1"/>
  <c r="BH127" i="1"/>
  <c r="BH128" i="1"/>
  <c r="BH129" i="1"/>
  <c r="BH130" i="1"/>
  <c r="BH131" i="1"/>
  <c r="BH132" i="1"/>
  <c r="BH133" i="1"/>
  <c r="BH134" i="1"/>
  <c r="BH135" i="1"/>
  <c r="BH136" i="1"/>
  <c r="BH137" i="1"/>
  <c r="BH138" i="1"/>
  <c r="BH139" i="1"/>
  <c r="BH140" i="1"/>
  <c r="BH141" i="1"/>
  <c r="BH142" i="1"/>
  <c r="BH143" i="1"/>
  <c r="BH144" i="1"/>
  <c r="BH145" i="1"/>
  <c r="BH146" i="1"/>
  <c r="BH147" i="1"/>
  <c r="BH148" i="1"/>
  <c r="BH149" i="1"/>
  <c r="BH150" i="1"/>
  <c r="BH151" i="1"/>
  <c r="BH152" i="1"/>
  <c r="BH153" i="1"/>
  <c r="BH154" i="1"/>
  <c r="BH155" i="1"/>
  <c r="BH156" i="1"/>
  <c r="J42" i="15" l="1"/>
  <c r="J51" i="15"/>
  <c r="J6" i="15"/>
  <c r="I49" i="15"/>
  <c r="I9" i="15"/>
  <c r="J22" i="15"/>
  <c r="I41" i="15"/>
  <c r="I4" i="15"/>
  <c r="J9" i="15"/>
  <c r="I12" i="15"/>
  <c r="J17" i="15"/>
  <c r="I20" i="15"/>
  <c r="J25" i="15"/>
  <c r="I28" i="15"/>
  <c r="J33" i="15"/>
  <c r="I36" i="15"/>
  <c r="J41" i="15"/>
  <c r="I44" i="15"/>
  <c r="J49" i="15"/>
  <c r="J4" i="15"/>
  <c r="I7" i="15"/>
  <c r="J12" i="15"/>
  <c r="I15" i="15"/>
  <c r="J20" i="15"/>
  <c r="I23" i="15"/>
  <c r="J28" i="15"/>
  <c r="I31" i="15"/>
  <c r="J36" i="15"/>
  <c r="I39" i="15"/>
  <c r="J44" i="15"/>
  <c r="I47" i="15"/>
  <c r="I25" i="15"/>
  <c r="J38" i="15"/>
  <c r="J7" i="15"/>
  <c r="I10" i="15"/>
  <c r="J15" i="15"/>
  <c r="I18" i="15"/>
  <c r="J23" i="15"/>
  <c r="I26" i="15"/>
  <c r="J31" i="15"/>
  <c r="I34" i="15"/>
  <c r="J39" i="15"/>
  <c r="I42" i="15"/>
  <c r="J47" i="15"/>
  <c r="I50" i="15"/>
  <c r="I5" i="15"/>
  <c r="J10" i="15"/>
  <c r="I13" i="15"/>
  <c r="J18" i="15"/>
  <c r="I21" i="15"/>
  <c r="J26" i="15"/>
  <c r="I29" i="15"/>
  <c r="J34" i="15"/>
  <c r="I37" i="15"/>
  <c r="I45" i="15"/>
  <c r="J50" i="15"/>
  <c r="J46" i="15"/>
  <c r="J5" i="15"/>
  <c r="I8" i="15"/>
  <c r="J13" i="15"/>
  <c r="I16" i="15"/>
  <c r="J21" i="15"/>
  <c r="I24" i="15"/>
  <c r="J29" i="15"/>
  <c r="I32" i="15"/>
  <c r="J37" i="15"/>
  <c r="I40" i="15"/>
  <c r="J45" i="15"/>
  <c r="I48" i="15"/>
  <c r="J14" i="15"/>
  <c r="J30" i="15"/>
  <c r="I3" i="15"/>
  <c r="J8" i="15"/>
  <c r="I11" i="15"/>
  <c r="J16" i="15"/>
  <c r="I19" i="15"/>
  <c r="J24" i="15"/>
  <c r="I27" i="15"/>
  <c r="J32" i="15"/>
  <c r="I35" i="15"/>
  <c r="J40" i="15"/>
  <c r="I43" i="15"/>
  <c r="J48" i="15"/>
  <c r="I51" i="15"/>
  <c r="I17" i="15"/>
  <c r="I33" i="15"/>
  <c r="J3" i="15"/>
  <c r="I6" i="15"/>
  <c r="J11" i="15"/>
  <c r="I14" i="15"/>
  <c r="J19" i="15"/>
  <c r="I22" i="15"/>
  <c r="J27" i="15"/>
  <c r="I30" i="15"/>
  <c r="J35" i="15"/>
  <c r="I38" i="15"/>
  <c r="J43" i="15"/>
  <c r="I46" i="15"/>
  <c r="T6" i="42" l="1"/>
  <c r="T36" i="42" s="1"/>
  <c r="S6" i="42"/>
  <c r="S36" i="42" s="1"/>
  <c r="R6" i="42"/>
  <c r="R36" i="42" s="1"/>
  <c r="Q6" i="42"/>
  <c r="Q36" i="42" s="1"/>
  <c r="P6" i="42"/>
  <c r="P36" i="42" s="1"/>
  <c r="O6" i="42"/>
  <c r="O36" i="42" s="1"/>
  <c r="N6" i="42"/>
  <c r="N36" i="42" s="1"/>
  <c r="M6" i="42"/>
  <c r="M36" i="42" s="1"/>
  <c r="L6" i="42"/>
  <c r="L36" i="42" s="1"/>
  <c r="K6" i="42"/>
  <c r="K36" i="42" s="1"/>
  <c r="J6" i="42"/>
  <c r="J36" i="42" s="1"/>
  <c r="H6" i="42"/>
  <c r="H36" i="42" s="1"/>
  <c r="AR156" i="1"/>
  <c r="AR155" i="1"/>
  <c r="AR154" i="1"/>
  <c r="AR153" i="1"/>
  <c r="AR152" i="1"/>
  <c r="AR151" i="1"/>
  <c r="AR150" i="1"/>
  <c r="AR149" i="1"/>
  <c r="AR148" i="1"/>
  <c r="AR147" i="1"/>
  <c r="AR146" i="1"/>
  <c r="AR145" i="1"/>
  <c r="AR144" i="1"/>
  <c r="AR143" i="1"/>
  <c r="AR142" i="1"/>
  <c r="AR141" i="1"/>
  <c r="AR140" i="1"/>
  <c r="AR139" i="1"/>
  <c r="AR138" i="1"/>
  <c r="AR137" i="1"/>
  <c r="AR136" i="1"/>
  <c r="AR135" i="1"/>
  <c r="AR134" i="1"/>
  <c r="AR133" i="1"/>
  <c r="AR132" i="1"/>
  <c r="AR131" i="1"/>
  <c r="AR130" i="1"/>
  <c r="AR129" i="1"/>
  <c r="AR128" i="1"/>
  <c r="AR127" i="1"/>
  <c r="AR126" i="1"/>
  <c r="AR125" i="1"/>
  <c r="AR124" i="1"/>
  <c r="AR123" i="1"/>
  <c r="AR122" i="1"/>
  <c r="AR121" i="1"/>
  <c r="AR120" i="1"/>
  <c r="AR119" i="1"/>
  <c r="AR118" i="1"/>
  <c r="AR117" i="1"/>
  <c r="AR116" i="1"/>
  <c r="AR115" i="1"/>
  <c r="AR114" i="1"/>
  <c r="AR113" i="1"/>
  <c r="AR112" i="1"/>
  <c r="AR111" i="1"/>
  <c r="AR110" i="1"/>
  <c r="AR109" i="1"/>
  <c r="AR108" i="1"/>
  <c r="AR107" i="1"/>
  <c r="AR106" i="1"/>
  <c r="AR105" i="1"/>
  <c r="AR104" i="1"/>
  <c r="AR103" i="1"/>
  <c r="AR102" i="1"/>
  <c r="AR101" i="1"/>
  <c r="AR100" i="1"/>
  <c r="AR99" i="1"/>
  <c r="AR98" i="1"/>
  <c r="AR97" i="1"/>
  <c r="AR96" i="1"/>
  <c r="AR95" i="1"/>
  <c r="AR94" i="1"/>
  <c r="AR93" i="1"/>
  <c r="AR92" i="1"/>
  <c r="AR91" i="1"/>
  <c r="AR90" i="1"/>
  <c r="AR89" i="1"/>
  <c r="AR88" i="1"/>
  <c r="AR87" i="1"/>
  <c r="AR86" i="1"/>
  <c r="AR85" i="1"/>
  <c r="AR84" i="1"/>
  <c r="AR83" i="1"/>
  <c r="AR82" i="1"/>
  <c r="AR81" i="1"/>
  <c r="AR80" i="1"/>
  <c r="AR79" i="1"/>
  <c r="AR78" i="1"/>
  <c r="AR77" i="1"/>
  <c r="AR76" i="1"/>
  <c r="AR75" i="1"/>
  <c r="AR74" i="1"/>
  <c r="AR73" i="1"/>
  <c r="AR72" i="1"/>
  <c r="AR71" i="1"/>
  <c r="AR70" i="1"/>
  <c r="AR69" i="1"/>
  <c r="AR68" i="1"/>
  <c r="AR67" i="1"/>
  <c r="AR66" i="1"/>
  <c r="AR65" i="1"/>
  <c r="AR64" i="1"/>
  <c r="AR63" i="1"/>
  <c r="AR62" i="1"/>
  <c r="AR61" i="1"/>
  <c r="AR60" i="1"/>
  <c r="AR59" i="1"/>
  <c r="AR58" i="1"/>
  <c r="AR57" i="1"/>
  <c r="AR56" i="1"/>
  <c r="AR55" i="1"/>
  <c r="AR54" i="1"/>
  <c r="AR53" i="1"/>
  <c r="AR52" i="1"/>
  <c r="AR51" i="1"/>
  <c r="AR50" i="1"/>
  <c r="AR49" i="1"/>
  <c r="AR48" i="1"/>
  <c r="AR47" i="1"/>
  <c r="AR46" i="1"/>
  <c r="AR45" i="1"/>
  <c r="AR44" i="1"/>
  <c r="AR43" i="1"/>
  <c r="AR42" i="1"/>
  <c r="AR41" i="1"/>
  <c r="AR40" i="1"/>
  <c r="AR39" i="1"/>
  <c r="AR38" i="1"/>
  <c r="AR37" i="1"/>
  <c r="AR36" i="1"/>
  <c r="AR35" i="1"/>
  <c r="AR34" i="1"/>
  <c r="AR33" i="1"/>
  <c r="AR32" i="1"/>
  <c r="AR31" i="1"/>
  <c r="AR30" i="1"/>
  <c r="AR29" i="1"/>
  <c r="AR28" i="1"/>
  <c r="AR27" i="1"/>
  <c r="AR26" i="1"/>
  <c r="AR25" i="1"/>
  <c r="AR24" i="1"/>
  <c r="AR23" i="1"/>
  <c r="AR22" i="1"/>
  <c r="AR21" i="1"/>
  <c r="AR20" i="1"/>
  <c r="AR19" i="1"/>
  <c r="AR18" i="1"/>
  <c r="AR17" i="1"/>
  <c r="AR16" i="1"/>
  <c r="AR15" i="1"/>
  <c r="AR14" i="1"/>
  <c r="AR13" i="1"/>
  <c r="AR12" i="1"/>
  <c r="AR11" i="1"/>
  <c r="AR10" i="1"/>
  <c r="AR9" i="1"/>
  <c r="AR8" i="1"/>
  <c r="AR7" i="1"/>
  <c r="AR6" i="1"/>
  <c r="AR5" i="1"/>
  <c r="AR4" i="1"/>
  <c r="T38" i="42"/>
  <c r="S38" i="42"/>
  <c r="R38" i="42"/>
  <c r="Q38" i="42"/>
  <c r="P38" i="42"/>
  <c r="O38" i="42"/>
  <c r="N38" i="42"/>
  <c r="M38" i="42"/>
  <c r="L38" i="42"/>
  <c r="K38" i="42"/>
  <c r="J38" i="42"/>
  <c r="T37" i="42"/>
  <c r="S37" i="42"/>
  <c r="R37" i="42"/>
  <c r="Q37" i="42"/>
  <c r="P37" i="42"/>
  <c r="O37" i="42"/>
  <c r="N37" i="42"/>
  <c r="M37" i="42"/>
  <c r="L37" i="42"/>
  <c r="K37" i="42"/>
  <c r="J37" i="42"/>
  <c r="I38" i="42"/>
  <c r="H38" i="42"/>
  <c r="I37" i="42"/>
  <c r="H37" i="42"/>
  <c r="H39" i="42" l="1"/>
  <c r="I39" i="42" s="1"/>
  <c r="J39" i="42"/>
  <c r="K39" i="42" s="1"/>
  <c r="L39" i="42" s="1"/>
  <c r="M39" i="42" s="1"/>
  <c r="N39" i="42" s="1"/>
  <c r="O39" i="42" s="1"/>
  <c r="P39" i="42" s="1"/>
  <c r="Q39" i="42" s="1"/>
  <c r="R39" i="42" s="1"/>
  <c r="S39" i="42" s="1"/>
  <c r="T39" i="42" s="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C157" i="1"/>
  <c r="AD157" i="1"/>
  <c r="AE157" i="1"/>
  <c r="BE157" i="1"/>
  <c r="AJ4" i="1"/>
  <c r="AJ5" i="1"/>
  <c r="AJ6" i="1"/>
  <c r="AJ7" i="1"/>
  <c r="AJ8" i="1"/>
  <c r="AJ9"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C28" i="42"/>
  <c r="C27" i="42"/>
  <c r="C26" i="42"/>
  <c r="C25" i="42"/>
  <c r="C24" i="42"/>
  <c r="C23" i="42"/>
  <c r="C22" i="42"/>
  <c r="C21" i="42"/>
  <c r="C20" i="42"/>
  <c r="C19" i="42"/>
  <c r="D61" i="45" l="1"/>
  <c r="AE8" i="45"/>
  <c r="D8" i="45"/>
  <c r="D35" i="45"/>
  <c r="S61" i="45"/>
  <c r="S35" i="45"/>
  <c r="Y67" i="45"/>
  <c r="D77" i="45"/>
  <c r="AM14" i="45"/>
  <c r="D24" i="45"/>
  <c r="D51" i="45"/>
  <c r="Y41" i="45"/>
  <c r="D63" i="45"/>
  <c r="AE10" i="45"/>
  <c r="D37" i="45"/>
  <c r="D10" i="45"/>
  <c r="S37" i="45"/>
  <c r="S63" i="45"/>
  <c r="D79" i="45"/>
  <c r="AM16" i="45"/>
  <c r="D26" i="45"/>
  <c r="Y69" i="45"/>
  <c r="Y43" i="45"/>
  <c r="D53" i="45"/>
  <c r="D12" i="45"/>
  <c r="S39" i="45"/>
  <c r="D65" i="45"/>
  <c r="AE12" i="45"/>
  <c r="S65" i="45"/>
  <c r="D39" i="45"/>
  <c r="D14" i="45"/>
  <c r="D67" i="45"/>
  <c r="S41" i="45"/>
  <c r="S67" i="45"/>
  <c r="D41" i="45"/>
  <c r="AE14" i="45"/>
  <c r="S43" i="45"/>
  <c r="S69" i="45"/>
  <c r="D43" i="45"/>
  <c r="D16" i="45"/>
  <c r="D69" i="45"/>
  <c r="AE16" i="45"/>
  <c r="D47" i="45"/>
  <c r="Y63" i="45"/>
  <c r="D73" i="45"/>
  <c r="AM10" i="45"/>
  <c r="Y37" i="45"/>
  <c r="D20" i="45"/>
  <c r="D49" i="45"/>
  <c r="Y65" i="45"/>
  <c r="Y39" i="45"/>
  <c r="D75" i="45"/>
  <c r="AM12" i="45"/>
  <c r="D22" i="45"/>
  <c r="Y35" i="45"/>
  <c r="D18" i="45"/>
  <c r="D45" i="45"/>
  <c r="Y61" i="45"/>
  <c r="D71" i="45"/>
  <c r="AM8" i="45"/>
  <c r="F28" i="42"/>
  <c r="F21" i="42"/>
  <c r="F27" i="42"/>
  <c r="F25" i="42"/>
  <c r="F23" i="42"/>
  <c r="F22" i="42"/>
  <c r="E3" i="15" l="1"/>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O42" i="15"/>
  <c r="AF152" i="1" l="1"/>
  <c r="AF153" i="1"/>
  <c r="AF154" i="1"/>
  <c r="AF155" i="1"/>
  <c r="AF156" i="1"/>
  <c r="BD156" i="1"/>
  <c r="BF156" i="1" s="1"/>
  <c r="AF143" i="1"/>
  <c r="AF144" i="1"/>
  <c r="AF145" i="1"/>
  <c r="AF146" i="1"/>
  <c r="AF147" i="1"/>
  <c r="AF148" i="1"/>
  <c r="AF149" i="1"/>
  <c r="AF150" i="1"/>
  <c r="AF151" i="1"/>
  <c r="BD144" i="1"/>
  <c r="BF144" i="1" s="1"/>
  <c r="BD145" i="1"/>
  <c r="BF145" i="1" s="1"/>
  <c r="BD146" i="1"/>
  <c r="BF146" i="1" s="1"/>
  <c r="BD151" i="1"/>
  <c r="BF151" i="1" s="1"/>
  <c r="AF129" i="1"/>
  <c r="AF130" i="1"/>
  <c r="AF131" i="1"/>
  <c r="AF132" i="1"/>
  <c r="AF133" i="1"/>
  <c r="AF134" i="1"/>
  <c r="AF135" i="1"/>
  <c r="AF136" i="1"/>
  <c r="AF137" i="1"/>
  <c r="AF138" i="1"/>
  <c r="AF139" i="1"/>
  <c r="AF140" i="1"/>
  <c r="AF141" i="1"/>
  <c r="AF142" i="1"/>
  <c r="BD132" i="1"/>
  <c r="BF132" i="1" s="1"/>
  <c r="BD133" i="1"/>
  <c r="BF133" i="1" s="1"/>
  <c r="BD134" i="1"/>
  <c r="BF134" i="1" s="1"/>
  <c r="BD135" i="1"/>
  <c r="BF135" i="1" s="1"/>
  <c r="BD136" i="1"/>
  <c r="BF136" i="1" s="1"/>
  <c r="BD137" i="1"/>
  <c r="BF137" i="1" s="1"/>
  <c r="BD141" i="1"/>
  <c r="BF141" i="1" s="1"/>
  <c r="BD142" i="1"/>
  <c r="BF142" i="1" s="1"/>
  <c r="AF122" i="1"/>
  <c r="AF123" i="1"/>
  <c r="AF124" i="1"/>
  <c r="AF125" i="1"/>
  <c r="AF126" i="1"/>
  <c r="AF127" i="1"/>
  <c r="AF128" i="1"/>
  <c r="BD123" i="1"/>
  <c r="BF123" i="1" s="1"/>
  <c r="BD124" i="1"/>
  <c r="BF124" i="1" s="1"/>
  <c r="BD125" i="1"/>
  <c r="BF125" i="1" s="1"/>
  <c r="BD126" i="1"/>
  <c r="BF126" i="1" s="1"/>
  <c r="AF120" i="1"/>
  <c r="AF121" i="1"/>
  <c r="BD121" i="1"/>
  <c r="BF121" i="1" s="1"/>
  <c r="AO127" i="1" l="1"/>
  <c r="BD127" i="1"/>
  <c r="BF127" i="1" s="1"/>
  <c r="AO139" i="1"/>
  <c r="BD139" i="1"/>
  <c r="BF139" i="1" s="1"/>
  <c r="AO131" i="1"/>
  <c r="BD131" i="1"/>
  <c r="BF131" i="1" s="1"/>
  <c r="AO148" i="1"/>
  <c r="BD148" i="1"/>
  <c r="BF148" i="1" s="1"/>
  <c r="AO140" i="1"/>
  <c r="BD140" i="1"/>
  <c r="BF140" i="1" s="1"/>
  <c r="AO149" i="1"/>
  <c r="BD149" i="1"/>
  <c r="BF149" i="1" s="1"/>
  <c r="AO120" i="1"/>
  <c r="BD120" i="1"/>
  <c r="BF120" i="1" s="1"/>
  <c r="AO138" i="1"/>
  <c r="BD138" i="1"/>
  <c r="BF138" i="1" s="1"/>
  <c r="AO130" i="1"/>
  <c r="BD130" i="1"/>
  <c r="BF130" i="1" s="1"/>
  <c r="AO147" i="1"/>
  <c r="BD147" i="1"/>
  <c r="BF147" i="1" s="1"/>
  <c r="AO155" i="1"/>
  <c r="BD155" i="1"/>
  <c r="BF155" i="1" s="1"/>
  <c r="AO128" i="1"/>
  <c r="BD128" i="1"/>
  <c r="BF128" i="1" s="1"/>
  <c r="AO129" i="1"/>
  <c r="BD129" i="1"/>
  <c r="BF129" i="1" s="1"/>
  <c r="AO154" i="1"/>
  <c r="BD154" i="1"/>
  <c r="BF154" i="1" s="1"/>
  <c r="AO153" i="1"/>
  <c r="BD153" i="1"/>
  <c r="BF153" i="1" s="1"/>
  <c r="AO122" i="1"/>
  <c r="BD122" i="1"/>
  <c r="BF122" i="1" s="1"/>
  <c r="AO143" i="1"/>
  <c r="BD143" i="1"/>
  <c r="BF143" i="1" s="1"/>
  <c r="AO152" i="1"/>
  <c r="BD152" i="1"/>
  <c r="BF152" i="1" s="1"/>
  <c r="AO150" i="1"/>
  <c r="BD150" i="1"/>
  <c r="BF150" i="1" s="1"/>
  <c r="AZ153" i="1"/>
  <c r="AZ155" i="1"/>
  <c r="AZ152" i="1"/>
  <c r="AZ154" i="1"/>
  <c r="AZ147" i="1"/>
  <c r="AZ132" i="1"/>
  <c r="AZ127" i="1"/>
  <c r="AZ150" i="1"/>
  <c r="AZ135" i="1"/>
  <c r="AZ136" i="1"/>
  <c r="AZ142" i="1"/>
  <c r="AZ134" i="1"/>
  <c r="AZ149" i="1"/>
  <c r="AZ156" i="1"/>
  <c r="AZ144" i="1"/>
  <c r="AZ141" i="1"/>
  <c r="AZ140" i="1"/>
  <c r="AZ148" i="1"/>
  <c r="AZ145" i="1"/>
  <c r="AZ146" i="1"/>
  <c r="AO151" i="1"/>
  <c r="AO156" i="1"/>
  <c r="AO121" i="1"/>
  <c r="AO137" i="1"/>
  <c r="AO126" i="1"/>
  <c r="AO146" i="1"/>
  <c r="AO136" i="1"/>
  <c r="AO125" i="1"/>
  <c r="AZ120" i="1"/>
  <c r="AZ133" i="1"/>
  <c r="AZ139" i="1"/>
  <c r="AZ131" i="1"/>
  <c r="AO144" i="1"/>
  <c r="AZ125" i="1"/>
  <c r="AZ137" i="1"/>
  <c r="AZ129" i="1"/>
  <c r="AZ151" i="1"/>
  <c r="AZ143" i="1"/>
  <c r="AO133" i="1"/>
  <c r="AO145" i="1"/>
  <c r="AZ124" i="1"/>
  <c r="AO132" i="1"/>
  <c r="AZ138" i="1"/>
  <c r="AZ130" i="1"/>
  <c r="AO141" i="1"/>
  <c r="AZ128" i="1"/>
  <c r="AO135" i="1"/>
  <c r="AO142" i="1"/>
  <c r="AO134" i="1"/>
  <c r="AZ126" i="1"/>
  <c r="AZ123" i="1"/>
  <c r="AZ122" i="1"/>
  <c r="AO124" i="1"/>
  <c r="AO123" i="1"/>
  <c r="AZ121" i="1"/>
  <c r="AF116" i="1" l="1"/>
  <c r="AF117" i="1"/>
  <c r="AF118" i="1"/>
  <c r="AF119" i="1"/>
  <c r="BD117" i="1"/>
  <c r="BF117" i="1" s="1"/>
  <c r="AF114" i="1"/>
  <c r="AF115" i="1"/>
  <c r="AF113" i="1"/>
  <c r="AF112" i="1"/>
  <c r="AF104" i="1"/>
  <c r="AF105" i="1"/>
  <c r="AF106" i="1"/>
  <c r="AF107" i="1"/>
  <c r="AF108" i="1"/>
  <c r="AF109" i="1"/>
  <c r="AF110" i="1"/>
  <c r="AF111" i="1"/>
  <c r="BD104" i="1"/>
  <c r="BF104" i="1" s="1"/>
  <c r="BD105" i="1"/>
  <c r="BF105" i="1" s="1"/>
  <c r="BD106" i="1"/>
  <c r="BF106" i="1" s="1"/>
  <c r="AJ108" i="1"/>
  <c r="AF103" i="1"/>
  <c r="AF102" i="1"/>
  <c r="AF97" i="1"/>
  <c r="AF98" i="1"/>
  <c r="AF99" i="1"/>
  <c r="AF100" i="1"/>
  <c r="AF101" i="1"/>
  <c r="BD99" i="1"/>
  <c r="BF99" i="1" s="1"/>
  <c r="AF89" i="1"/>
  <c r="AF90" i="1"/>
  <c r="AF91" i="1"/>
  <c r="AF92" i="1"/>
  <c r="AF93" i="1"/>
  <c r="AF94" i="1"/>
  <c r="AF95" i="1"/>
  <c r="AF96" i="1"/>
  <c r="BD89" i="1"/>
  <c r="BF89" i="1" s="1"/>
  <c r="BD90" i="1"/>
  <c r="BF90" i="1" s="1"/>
  <c r="BD91" i="1"/>
  <c r="BF91" i="1" s="1"/>
  <c r="BD92" i="1"/>
  <c r="BF92" i="1" s="1"/>
  <c r="AZ89" i="1"/>
  <c r="AZ90" i="1"/>
  <c r="AF78" i="1"/>
  <c r="AF79" i="1"/>
  <c r="AF80" i="1"/>
  <c r="AF81" i="1"/>
  <c r="AF82" i="1"/>
  <c r="AF83" i="1"/>
  <c r="AF84" i="1"/>
  <c r="AF85" i="1"/>
  <c r="AF86" i="1"/>
  <c r="AF87" i="1"/>
  <c r="AF88" i="1"/>
  <c r="BD78" i="1"/>
  <c r="BF78" i="1" s="1"/>
  <c r="BD79" i="1"/>
  <c r="BF79" i="1" s="1"/>
  <c r="BD80" i="1"/>
  <c r="BF80" i="1" s="1"/>
  <c r="BD82" i="1"/>
  <c r="BF82" i="1" s="1"/>
  <c r="BD86" i="1"/>
  <c r="BF86" i="1" s="1"/>
  <c r="BD87" i="1"/>
  <c r="BF87" i="1" s="1"/>
  <c r="BD88" i="1"/>
  <c r="BF88" i="1" s="1"/>
  <c r="AF75" i="1"/>
  <c r="AF76" i="1"/>
  <c r="AF77" i="1"/>
  <c r="BD75" i="1"/>
  <c r="BF75" i="1" s="1"/>
  <c r="AF74" i="1"/>
  <c r="AF73" i="1"/>
  <c r="AF71" i="1"/>
  <c r="AF72" i="1"/>
  <c r="AF64" i="1"/>
  <c r="AF65" i="1"/>
  <c r="AF66" i="1"/>
  <c r="AF67" i="1"/>
  <c r="AF68" i="1"/>
  <c r="AF69" i="1"/>
  <c r="AF70" i="1"/>
  <c r="BD64" i="1"/>
  <c r="BF64" i="1" s="1"/>
  <c r="BD66" i="1"/>
  <c r="BF66" i="1" s="1"/>
  <c r="BD67" i="1"/>
  <c r="BF67" i="1" s="1"/>
  <c r="BD69" i="1"/>
  <c r="BF69" i="1" s="1"/>
  <c r="BD70" i="1"/>
  <c r="BF70" i="1" s="1"/>
  <c r="AF57" i="1"/>
  <c r="AF58" i="1"/>
  <c r="AF59" i="1"/>
  <c r="AF60" i="1"/>
  <c r="AF61" i="1"/>
  <c r="AF62" i="1"/>
  <c r="AF63" i="1"/>
  <c r="BD58" i="1"/>
  <c r="BF58" i="1" s="1"/>
  <c r="AF46" i="1"/>
  <c r="AF47" i="1"/>
  <c r="AF48" i="1"/>
  <c r="AF49" i="1"/>
  <c r="AF50" i="1"/>
  <c r="AF51" i="1"/>
  <c r="AF52" i="1"/>
  <c r="AF53" i="1"/>
  <c r="AF54" i="1"/>
  <c r="AF55" i="1"/>
  <c r="AF56" i="1"/>
  <c r="BD47" i="1"/>
  <c r="BF47" i="1" s="1"/>
  <c r="BD49" i="1"/>
  <c r="BF49" i="1" s="1"/>
  <c r="BD50" i="1"/>
  <c r="BF50" i="1" s="1"/>
  <c r="BD51" i="1"/>
  <c r="BF51" i="1" s="1"/>
  <c r="BD52" i="1"/>
  <c r="BF52" i="1" s="1"/>
  <c r="BD53" i="1"/>
  <c r="BF53" i="1" s="1"/>
  <c r="BD55" i="1"/>
  <c r="BF55" i="1" s="1"/>
  <c r="AJ56" i="1"/>
  <c r="F20" i="42" s="1"/>
  <c r="AF41" i="1"/>
  <c r="AF42" i="1"/>
  <c r="AF43" i="1"/>
  <c r="AF44" i="1"/>
  <c r="AF45" i="1"/>
  <c r="BD44" i="1"/>
  <c r="BF44" i="1" s="1"/>
  <c r="BD45" i="1"/>
  <c r="BF45" i="1" s="1"/>
  <c r="AF39" i="1"/>
  <c r="AF40" i="1"/>
  <c r="AF38" i="1"/>
  <c r="AF35" i="1"/>
  <c r="AF36" i="1"/>
  <c r="AF37" i="1"/>
  <c r="BD35" i="1"/>
  <c r="BF35" i="1" s="1"/>
  <c r="BD36" i="1"/>
  <c r="BF36" i="1" s="1"/>
  <c r="AF25" i="1"/>
  <c r="AF26" i="1"/>
  <c r="AF27" i="1"/>
  <c r="AF28" i="1"/>
  <c r="AF29" i="1"/>
  <c r="AF30" i="1"/>
  <c r="AF31" i="1"/>
  <c r="AF32" i="1"/>
  <c r="AF33" i="1"/>
  <c r="AF34" i="1"/>
  <c r="BD27" i="1"/>
  <c r="BF27" i="1" s="1"/>
  <c r="BD29" i="1"/>
  <c r="BF29" i="1" s="1"/>
  <c r="BD30" i="1"/>
  <c r="BF30" i="1" s="1"/>
  <c r="BD32" i="1"/>
  <c r="BF32" i="1" s="1"/>
  <c r="O38" i="15"/>
  <c r="AF18" i="1"/>
  <c r="AF19" i="1"/>
  <c r="AF20" i="1"/>
  <c r="AF21" i="1"/>
  <c r="AF22" i="1"/>
  <c r="AF23" i="1"/>
  <c r="AF24" i="1"/>
  <c r="BD19" i="1"/>
  <c r="BF19" i="1" s="1"/>
  <c r="BD20" i="1"/>
  <c r="BF20" i="1" s="1"/>
  <c r="BD21" i="1"/>
  <c r="BF21" i="1" s="1"/>
  <c r="BD22" i="1"/>
  <c r="BF22" i="1" s="1"/>
  <c r="BD24" i="1"/>
  <c r="BF24" i="1" s="1"/>
  <c r="AF14" i="1"/>
  <c r="AF15" i="1"/>
  <c r="AF16" i="1"/>
  <c r="AF17" i="1"/>
  <c r="BD14" i="1"/>
  <c r="BF14" i="1" s="1"/>
  <c r="BD15" i="1"/>
  <c r="BF15" i="1" s="1"/>
  <c r="AF8" i="1"/>
  <c r="AF9" i="1"/>
  <c r="AF10" i="1"/>
  <c r="AF11" i="1"/>
  <c r="AF12" i="1"/>
  <c r="AF13" i="1"/>
  <c r="BD8" i="1"/>
  <c r="BF8" i="1" s="1"/>
  <c r="BD11" i="1"/>
  <c r="BF11" i="1" s="1"/>
  <c r="BD13" i="1"/>
  <c r="BF13" i="1" s="1"/>
  <c r="AJ10" i="1"/>
  <c r="AF5" i="1"/>
  <c r="AF6" i="1"/>
  <c r="AF7" i="1"/>
  <c r="BD6" i="1"/>
  <c r="BF6" i="1" s="1"/>
  <c r="BD7" i="1"/>
  <c r="BF7" i="1" s="1"/>
  <c r="AF4" i="1"/>
  <c r="BD4" i="1"/>
  <c r="BF4" i="1" s="1"/>
  <c r="F24" i="42" l="1"/>
  <c r="O32" i="15"/>
  <c r="AZ91" i="1"/>
  <c r="AO39" i="1"/>
  <c r="BD39" i="1"/>
  <c r="BF39" i="1" s="1"/>
  <c r="AO56" i="1"/>
  <c r="BD56" i="1"/>
  <c r="BF56" i="1" s="1"/>
  <c r="AO73" i="1"/>
  <c r="BD73" i="1"/>
  <c r="BF73" i="1" s="1"/>
  <c r="AO81" i="1"/>
  <c r="BD81" i="1"/>
  <c r="BF81" i="1" s="1"/>
  <c r="AO5" i="1"/>
  <c r="BD5" i="1"/>
  <c r="BF5" i="1" s="1"/>
  <c r="AO10" i="1"/>
  <c r="BD10" i="1"/>
  <c r="BF10" i="1" s="1"/>
  <c r="AO37" i="1"/>
  <c r="BD37" i="1"/>
  <c r="BF37" i="1" s="1"/>
  <c r="AO54" i="1"/>
  <c r="BD54" i="1"/>
  <c r="BF54" i="1" s="1"/>
  <c r="AO46" i="1"/>
  <c r="BD46" i="1"/>
  <c r="BF46" i="1" s="1"/>
  <c r="AO57" i="1"/>
  <c r="BD57" i="1"/>
  <c r="BF57" i="1" s="1"/>
  <c r="AO102" i="1"/>
  <c r="BD102" i="1"/>
  <c r="BF102" i="1" s="1"/>
  <c r="AO113" i="1"/>
  <c r="BD113" i="1"/>
  <c r="BF113" i="1" s="1"/>
  <c r="AO119" i="1"/>
  <c r="BD119" i="1"/>
  <c r="BF119" i="1" s="1"/>
  <c r="AO23" i="1"/>
  <c r="BD23" i="1"/>
  <c r="BF23" i="1" s="1"/>
  <c r="AO65" i="1"/>
  <c r="BD65" i="1"/>
  <c r="BF65" i="1" s="1"/>
  <c r="AO9" i="1"/>
  <c r="BD9" i="1"/>
  <c r="BF9" i="1" s="1"/>
  <c r="AO28" i="1"/>
  <c r="BD28" i="1"/>
  <c r="BF28" i="1" s="1"/>
  <c r="AO43" i="1"/>
  <c r="BD43" i="1"/>
  <c r="BF43" i="1" s="1"/>
  <c r="AO101" i="1"/>
  <c r="BD101" i="1"/>
  <c r="BF101" i="1" s="1"/>
  <c r="AO118" i="1"/>
  <c r="BD118" i="1"/>
  <c r="BF118" i="1" s="1"/>
  <c r="AO42" i="1"/>
  <c r="BD42" i="1"/>
  <c r="BF42" i="1" s="1"/>
  <c r="AO63" i="1"/>
  <c r="BD63" i="1"/>
  <c r="BF63" i="1" s="1"/>
  <c r="AO74" i="1"/>
  <c r="BD74" i="1"/>
  <c r="BF74" i="1" s="1"/>
  <c r="AO85" i="1"/>
  <c r="BD85" i="1"/>
  <c r="BF85" i="1" s="1"/>
  <c r="AO100" i="1"/>
  <c r="BD100" i="1"/>
  <c r="BF100" i="1" s="1"/>
  <c r="AO111" i="1"/>
  <c r="BD111" i="1"/>
  <c r="BF111" i="1" s="1"/>
  <c r="AO115" i="1"/>
  <c r="BD115" i="1"/>
  <c r="BF115" i="1" s="1"/>
  <c r="AO12" i="1"/>
  <c r="BD12" i="1"/>
  <c r="BF12" i="1" s="1"/>
  <c r="AO31" i="1"/>
  <c r="BD31" i="1"/>
  <c r="BF31" i="1" s="1"/>
  <c r="AO17" i="1"/>
  <c r="BD17" i="1"/>
  <c r="BF17" i="1" s="1"/>
  <c r="AO34" i="1"/>
  <c r="BD34" i="1"/>
  <c r="BF34" i="1" s="1"/>
  <c r="AO26" i="1"/>
  <c r="BD26" i="1"/>
  <c r="BF26" i="1" s="1"/>
  <c r="AO38" i="1"/>
  <c r="BD38" i="1"/>
  <c r="BF38" i="1" s="1"/>
  <c r="AO41" i="1"/>
  <c r="BD41" i="1"/>
  <c r="BF41" i="1" s="1"/>
  <c r="AO62" i="1"/>
  <c r="BD62" i="1"/>
  <c r="BF62" i="1" s="1"/>
  <c r="AO77" i="1"/>
  <c r="BD77" i="1"/>
  <c r="BF77" i="1" s="1"/>
  <c r="AO84" i="1"/>
  <c r="BD84" i="1"/>
  <c r="BF84" i="1" s="1"/>
  <c r="AO96" i="1"/>
  <c r="BD96" i="1"/>
  <c r="BF96" i="1" s="1"/>
  <c r="AO110" i="1"/>
  <c r="BD110" i="1"/>
  <c r="BF110" i="1" s="1"/>
  <c r="AO114" i="1"/>
  <c r="BD114" i="1"/>
  <c r="BF114" i="1" s="1"/>
  <c r="AO116" i="1"/>
  <c r="BD116" i="1"/>
  <c r="BF116" i="1" s="1"/>
  <c r="AO16" i="1"/>
  <c r="BD16" i="1"/>
  <c r="BF16" i="1" s="1"/>
  <c r="AO18" i="1"/>
  <c r="BD18" i="1"/>
  <c r="BF18" i="1" s="1"/>
  <c r="AO33" i="1"/>
  <c r="BD33" i="1"/>
  <c r="BF33" i="1" s="1"/>
  <c r="AO25" i="1"/>
  <c r="BD25" i="1"/>
  <c r="BF25" i="1" s="1"/>
  <c r="AO61" i="1"/>
  <c r="BD61" i="1"/>
  <c r="BF61" i="1" s="1"/>
  <c r="AO68" i="1"/>
  <c r="BD68" i="1"/>
  <c r="BF68" i="1" s="1"/>
  <c r="AO72" i="1"/>
  <c r="BD72" i="1"/>
  <c r="BF72" i="1" s="1"/>
  <c r="AO76" i="1"/>
  <c r="BD76" i="1"/>
  <c r="BF76" i="1" s="1"/>
  <c r="AO83" i="1"/>
  <c r="BD83" i="1"/>
  <c r="BF83" i="1" s="1"/>
  <c r="AO95" i="1"/>
  <c r="BD95" i="1"/>
  <c r="BF95" i="1" s="1"/>
  <c r="AO98" i="1"/>
  <c r="BD98" i="1"/>
  <c r="BF98" i="1" s="1"/>
  <c r="AO109" i="1"/>
  <c r="BD109" i="1"/>
  <c r="BF109" i="1" s="1"/>
  <c r="AO112" i="1"/>
  <c r="BD112" i="1"/>
  <c r="BF112" i="1" s="1"/>
  <c r="AO48" i="1"/>
  <c r="BD48" i="1"/>
  <c r="BF48" i="1" s="1"/>
  <c r="AO59" i="1"/>
  <c r="BD59" i="1"/>
  <c r="BF59" i="1" s="1"/>
  <c r="AO93" i="1"/>
  <c r="BD93" i="1"/>
  <c r="BF93" i="1" s="1"/>
  <c r="AO107" i="1"/>
  <c r="BD107" i="1"/>
  <c r="BF107" i="1" s="1"/>
  <c r="AO40" i="1"/>
  <c r="BD40" i="1"/>
  <c r="BF40" i="1" s="1"/>
  <c r="AO60" i="1"/>
  <c r="BD60" i="1"/>
  <c r="BF60" i="1" s="1"/>
  <c r="AO71" i="1"/>
  <c r="BD71" i="1"/>
  <c r="BF71" i="1" s="1"/>
  <c r="AO94" i="1"/>
  <c r="BD94" i="1"/>
  <c r="BF94" i="1" s="1"/>
  <c r="AO97" i="1"/>
  <c r="BD97" i="1"/>
  <c r="BF97" i="1" s="1"/>
  <c r="AO103" i="1"/>
  <c r="BD103" i="1"/>
  <c r="BF103" i="1" s="1"/>
  <c r="AO108" i="1"/>
  <c r="BD108" i="1"/>
  <c r="BF108" i="1" s="1"/>
  <c r="AZ106" i="1"/>
  <c r="AZ108" i="1"/>
  <c r="AZ107" i="1"/>
  <c r="AZ105" i="1"/>
  <c r="AZ104" i="1"/>
  <c r="AZ95" i="1"/>
  <c r="AZ94" i="1"/>
  <c r="AZ93" i="1"/>
  <c r="AZ103" i="1"/>
  <c r="AZ96" i="1"/>
  <c r="AZ92" i="1"/>
  <c r="AZ117" i="1"/>
  <c r="AZ109" i="1"/>
  <c r="AZ72" i="1"/>
  <c r="AZ86" i="1"/>
  <c r="AZ78" i="1"/>
  <c r="AZ81" i="1"/>
  <c r="AZ98" i="1"/>
  <c r="AZ116" i="1"/>
  <c r="AZ47" i="1"/>
  <c r="AZ58" i="1"/>
  <c r="AZ67" i="1"/>
  <c r="AZ119" i="1"/>
  <c r="AZ51" i="1"/>
  <c r="AZ54" i="1"/>
  <c r="AZ46" i="1"/>
  <c r="AZ85" i="1"/>
  <c r="AZ111" i="1"/>
  <c r="AZ64" i="1"/>
  <c r="AZ110" i="1"/>
  <c r="AZ101" i="1"/>
  <c r="AZ66" i="1"/>
  <c r="AZ23" i="1"/>
  <c r="AZ42" i="1"/>
  <c r="AZ75" i="1"/>
  <c r="AZ44" i="1"/>
  <c r="AZ62" i="1"/>
  <c r="AZ61" i="1"/>
  <c r="AZ73" i="1"/>
  <c r="AZ100" i="1"/>
  <c r="AZ97" i="1"/>
  <c r="AZ115" i="1"/>
  <c r="AZ53" i="1"/>
  <c r="AZ56" i="1"/>
  <c r="AZ48" i="1"/>
  <c r="AZ77" i="1"/>
  <c r="AZ83" i="1"/>
  <c r="AZ99" i="1"/>
  <c r="AZ113" i="1"/>
  <c r="AO49" i="1"/>
  <c r="AZ49" i="1"/>
  <c r="AZ52" i="1"/>
  <c r="AZ55" i="1"/>
  <c r="AZ69" i="1"/>
  <c r="AZ71" i="1"/>
  <c r="AZ76" i="1"/>
  <c r="AZ82" i="1"/>
  <c r="AZ60" i="1"/>
  <c r="AZ65" i="1"/>
  <c r="AZ114" i="1"/>
  <c r="AZ57" i="1"/>
  <c r="AZ84" i="1"/>
  <c r="AZ87" i="1"/>
  <c r="AZ79" i="1"/>
  <c r="AZ28" i="1"/>
  <c r="AZ74" i="1"/>
  <c r="AZ43" i="1"/>
  <c r="AZ88" i="1"/>
  <c r="AZ80" i="1"/>
  <c r="AZ70" i="1"/>
  <c r="AZ102" i="1"/>
  <c r="AZ112" i="1"/>
  <c r="AZ118" i="1"/>
  <c r="AO105" i="1"/>
  <c r="AZ50" i="1"/>
  <c r="AZ63" i="1"/>
  <c r="AZ68" i="1"/>
  <c r="AO106" i="1"/>
  <c r="AO50" i="1"/>
  <c r="AO104" i="1"/>
  <c r="AO89" i="1"/>
  <c r="AO91" i="1"/>
  <c r="AO75" i="1"/>
  <c r="AO82" i="1"/>
  <c r="AO92" i="1"/>
  <c r="AO90" i="1"/>
  <c r="AO67" i="1"/>
  <c r="AO64" i="1"/>
  <c r="AO78" i="1"/>
  <c r="AO45" i="1"/>
  <c r="AO44" i="1"/>
  <c r="AO53" i="1"/>
  <c r="AO69" i="1"/>
  <c r="AO51" i="1"/>
  <c r="AO66" i="1"/>
  <c r="AO86" i="1"/>
  <c r="AO99" i="1"/>
  <c r="AO32" i="1"/>
  <c r="AO117" i="1"/>
  <c r="AO55" i="1"/>
  <c r="AO29" i="1"/>
  <c r="AO52" i="1"/>
  <c r="AZ29" i="1"/>
  <c r="AZ59" i="1"/>
  <c r="AO58" i="1"/>
  <c r="AO70" i="1"/>
  <c r="AO88" i="1"/>
  <c r="AO80" i="1"/>
  <c r="AO87" i="1"/>
  <c r="AO79" i="1"/>
  <c r="AO47" i="1"/>
  <c r="AZ12" i="1"/>
  <c r="AZ45" i="1"/>
  <c r="AZ41" i="1"/>
  <c r="AZ39" i="1"/>
  <c r="AZ38" i="1"/>
  <c r="AZ40" i="1"/>
  <c r="AZ14" i="1"/>
  <c r="AO30" i="1"/>
  <c r="AZ27" i="1"/>
  <c r="AZ11" i="1"/>
  <c r="AO24" i="1"/>
  <c r="AZ34" i="1"/>
  <c r="AZ26" i="1"/>
  <c r="AZ36" i="1"/>
  <c r="AO22" i="1"/>
  <c r="AZ33" i="1"/>
  <c r="AZ25" i="1"/>
  <c r="AZ37" i="1"/>
  <c r="AZ15" i="1"/>
  <c r="AO21" i="1"/>
  <c r="AZ32" i="1"/>
  <c r="AZ35" i="1"/>
  <c r="AO11" i="1"/>
  <c r="AZ31" i="1"/>
  <c r="AZ10" i="1"/>
  <c r="AZ24" i="1"/>
  <c r="AO27" i="1"/>
  <c r="AO36" i="1"/>
  <c r="AO35" i="1"/>
  <c r="AZ21" i="1"/>
  <c r="AZ20" i="1"/>
  <c r="AZ18" i="1"/>
  <c r="AZ30" i="1"/>
  <c r="AZ16" i="1"/>
  <c r="AZ19" i="1"/>
  <c r="AO19" i="1"/>
  <c r="AZ13" i="1"/>
  <c r="AZ22" i="1"/>
  <c r="AZ17" i="1"/>
  <c r="AO20" i="1"/>
  <c r="AO4" i="1"/>
  <c r="AZ8" i="1"/>
  <c r="AO15" i="1"/>
  <c r="AO14" i="1"/>
  <c r="AZ7" i="1"/>
  <c r="AZ5" i="1"/>
  <c r="AO7" i="1"/>
  <c r="AZ9" i="1"/>
  <c r="AO6" i="1"/>
  <c r="AO8" i="1"/>
  <c r="AZ4" i="1"/>
  <c r="AZ6" i="1"/>
  <c r="AO13" i="1"/>
  <c r="O26" i="15" l="1"/>
  <c r="O48" i="15"/>
  <c r="O10" i="15"/>
  <c r="O9" i="15"/>
  <c r="O18" i="15" l="1"/>
  <c r="O30" i="15"/>
  <c r="O20" i="15"/>
  <c r="O34" i="15"/>
  <c r="O8" i="15"/>
  <c r="O41" i="15"/>
  <c r="O44" i="15"/>
  <c r="F19" i="42" l="1"/>
  <c r="O46" i="15"/>
  <c r="O45" i="15"/>
  <c r="O22" i="15"/>
  <c r="O24" i="15"/>
  <c r="O28" i="15"/>
  <c r="O29" i="15"/>
  <c r="O50" i="15"/>
  <c r="O4" i="15"/>
  <c r="F26" i="42"/>
  <c r="O14" i="15"/>
  <c r="O16" i="15"/>
  <c r="AJ157" i="1" l="1"/>
  <c r="O39" i="15"/>
  <c r="O35" i="15"/>
  <c r="O33" i="15"/>
  <c r="O7" i="15"/>
  <c r="O27" i="15"/>
  <c r="O11" i="15"/>
  <c r="O12" i="15"/>
  <c r="O13" i="15"/>
  <c r="O37" i="15"/>
  <c r="O43" i="15"/>
  <c r="O25" i="15"/>
  <c r="O6" i="15"/>
  <c r="O19" i="15"/>
  <c r="O49" i="15"/>
  <c r="O47" i="15"/>
  <c r="O5" i="15"/>
  <c r="O15" i="15"/>
  <c r="O17" i="15"/>
  <c r="O40" i="15"/>
  <c r="O23" i="15"/>
  <c r="O36" i="15"/>
  <c r="O31" i="15"/>
  <c r="O21" i="15"/>
  <c r="O51" i="15"/>
  <c r="I6" i="42" l="1"/>
  <c r="I36" i="42" s="1"/>
  <c r="U69" i="45" l="1"/>
  <c r="AA67" i="45"/>
  <c r="F69" i="45"/>
  <c r="F77" i="45"/>
  <c r="C37" i="42" l="1"/>
  <c r="C38" i="42"/>
  <c r="C39" i="42"/>
  <c r="C40" i="42"/>
  <c r="C41" i="42"/>
  <c r="C42" i="42"/>
  <c r="C43" i="42"/>
  <c r="C44" i="42"/>
  <c r="C45" i="42"/>
  <c r="C46" i="42"/>
  <c r="C47" i="42"/>
  <c r="AA61" i="45"/>
  <c r="F63" i="45"/>
  <c r="U61" i="45"/>
  <c r="U65" i="45"/>
  <c r="AA65" i="45"/>
  <c r="AA63" i="45"/>
  <c r="F67" i="45"/>
  <c r="AA69" i="45"/>
  <c r="H2" i="41"/>
  <c r="I2" i="41"/>
  <c r="J2" i="41"/>
  <c r="K2" i="41"/>
  <c r="L2" i="41"/>
  <c r="M2" i="41"/>
  <c r="N2" i="41"/>
  <c r="O2" i="41"/>
  <c r="P2" i="41"/>
  <c r="Q2" i="41"/>
  <c r="R2" i="41"/>
  <c r="S2" i="41"/>
  <c r="T2" i="41"/>
  <c r="U2" i="41"/>
  <c r="V2" i="41"/>
  <c r="H4" i="41" a="1"/>
  <c r="H4" i="41" s="1"/>
  <c r="I4" i="41" a="1"/>
  <c r="I4" i="41" s="1"/>
  <c r="J4" i="41" a="1"/>
  <c r="J4" i="41" s="1"/>
  <c r="K4" i="41" a="1"/>
  <c r="K4" i="41" s="1"/>
  <c r="L4" i="41" a="1"/>
  <c r="L4" i="41" s="1"/>
  <c r="M4" i="41" a="1"/>
  <c r="M4" i="41" s="1"/>
  <c r="N4" i="41" a="1"/>
  <c r="N4" i="41" s="1"/>
  <c r="O4" i="41" a="1"/>
  <c r="O4" i="41" s="1"/>
  <c r="P4" i="41" a="1"/>
  <c r="P4" i="41" s="1"/>
  <c r="Q4" i="41" a="1"/>
  <c r="Q4" i="41" s="1"/>
  <c r="R4" i="41" a="1"/>
  <c r="R4" i="41" s="1"/>
  <c r="S4" i="41" a="1"/>
  <c r="S4" i="41" s="1"/>
  <c r="T4" i="41" a="1"/>
  <c r="T4" i="41" s="1"/>
  <c r="U4" i="41" a="1"/>
  <c r="U4" i="41" s="1"/>
  <c r="V4" i="41" a="1"/>
  <c r="V4" i="41" s="1"/>
  <c r="F73" i="45" l="1"/>
  <c r="F71" i="45"/>
  <c r="U67" i="45"/>
  <c r="F79" i="45"/>
  <c r="F61" i="45"/>
  <c r="F65" i="45"/>
  <c r="F75" i="45"/>
  <c r="U63" i="45"/>
  <c r="G4" i="41"/>
  <c r="G5" i="41" s="1"/>
  <c r="AF157" i="1" l="1"/>
  <c r="O3" i="15"/>
  <c r="AW157" i="1"/>
  <c r="AX157" i="1"/>
  <c r="AY157" i="1"/>
  <c r="AT157" i="1" l="1"/>
  <c r="AZ157" i="1"/>
  <c r="C37" i="14" l="1"/>
  <c r="C36" i="14"/>
  <c r="C35" i="14"/>
  <c r="C34" i="14"/>
  <c r="C33" i="14"/>
  <c r="D31" i="34"/>
  <c r="D30" i="34"/>
  <c r="D29" i="34"/>
  <c r="D28" i="34"/>
  <c r="D27" i="34"/>
  <c r="D26" i="34"/>
  <c r="D25" i="34"/>
  <c r="D24" i="34"/>
  <c r="D23" i="34"/>
  <c r="D22" i="34"/>
  <c r="D21" i="34"/>
  <c r="D20" i="34"/>
  <c r="D19" i="34"/>
  <c r="D18" i="34"/>
  <c r="D17" i="34"/>
  <c r="D16" i="34"/>
  <c r="D15" i="34"/>
  <c r="D14" i="34"/>
  <c r="D13" i="34"/>
  <c r="D12" i="34"/>
  <c r="D11" i="34"/>
  <c r="D10" i="34"/>
  <c r="D9" i="34"/>
  <c r="D8" i="34"/>
  <c r="D7" i="34"/>
  <c r="F7" i="34" l="1"/>
  <c r="F8" i="34"/>
  <c r="F9" i="34"/>
  <c r="F10" i="34"/>
  <c r="F11" i="34"/>
  <c r="F12" i="34"/>
  <c r="F13" i="34"/>
  <c r="F14" i="34"/>
  <c r="F15" i="34"/>
  <c r="F16" i="34"/>
  <c r="F17" i="34"/>
  <c r="F18" i="34"/>
  <c r="F19" i="34"/>
  <c r="F20" i="34"/>
  <c r="F21" i="34"/>
  <c r="F22" i="34"/>
  <c r="F23" i="34"/>
  <c r="F24" i="34"/>
  <c r="F25" i="34"/>
  <c r="F26" i="34"/>
  <c r="F27" i="34"/>
  <c r="F28" i="34"/>
  <c r="F29" i="34"/>
  <c r="F30" i="34"/>
  <c r="F31" i="34"/>
  <c r="J4" i="25"/>
  <c r="J5" i="25"/>
  <c r="J6" i="25"/>
  <c r="J7" i="25"/>
  <c r="J8" i="25"/>
  <c r="H21" i="34" l="1" a="1"/>
  <c r="H21" i="34" s="1"/>
  <c r="D15" i="13"/>
  <c r="D14" i="13"/>
  <c r="D8" i="13"/>
  <c r="D12" i="13"/>
  <c r="D13" i="13"/>
  <c r="D7" i="13"/>
  <c r="D9" i="13"/>
  <c r="D11" i="13"/>
  <c r="D10" i="13"/>
  <c r="D6" i="13"/>
  <c r="AO12" i="45" l="1"/>
  <c r="AG8" i="45"/>
  <c r="AG16" i="45"/>
  <c r="AG14" i="45"/>
  <c r="AG12" i="45"/>
  <c r="AO10" i="45"/>
  <c r="AO14" i="45"/>
  <c r="AG10" i="45"/>
  <c r="AO8" i="45"/>
  <c r="AO16" i="45"/>
  <c r="E9" i="13"/>
  <c r="D19" i="42"/>
  <c r="E8" i="13"/>
  <c r="D27" i="42"/>
  <c r="E6" i="13"/>
  <c r="D20" i="42"/>
  <c r="E11" i="13"/>
  <c r="D22" i="42"/>
  <c r="E7" i="13"/>
  <c r="D21" i="42"/>
  <c r="E13" i="13"/>
  <c r="D25" i="42"/>
  <c r="E12" i="13"/>
  <c r="D26" i="42"/>
  <c r="E14" i="13"/>
  <c r="D23" i="42"/>
  <c r="E10" i="13"/>
  <c r="D24" i="42"/>
  <c r="D28" i="42"/>
  <c r="J20" i="13"/>
  <c r="Y126" i="1" l="1"/>
  <c r="AA126" i="1" s="1"/>
  <c r="AB126" i="1" s="1"/>
  <c r="AG126" i="1" s="1"/>
  <c r="AS128" i="1"/>
  <c r="AU128" i="1" s="1"/>
  <c r="AV128" i="1" s="1"/>
  <c r="BA128" i="1" s="1"/>
  <c r="BB128" i="1" s="1"/>
  <c r="Y128" i="1"/>
  <c r="AA128" i="1" s="1"/>
  <c r="AB128" i="1" s="1"/>
  <c r="AG128" i="1" s="1"/>
  <c r="AS126" i="1"/>
  <c r="AU126" i="1" s="1"/>
  <c r="AV126" i="1" s="1"/>
  <c r="BA126" i="1" s="1"/>
  <c r="BB126" i="1" s="1"/>
  <c r="Y74" i="1"/>
  <c r="AA74" i="1" s="1"/>
  <c r="AB74" i="1" s="1"/>
  <c r="AG74" i="1" s="1"/>
  <c r="AS74" i="1"/>
  <c r="AU74" i="1" s="1"/>
  <c r="AV74" i="1" s="1"/>
  <c r="BA74" i="1" s="1"/>
  <c r="BB74" i="1" s="1"/>
  <c r="Y142" i="1"/>
  <c r="AA142" i="1" s="1"/>
  <c r="AB142" i="1" s="1"/>
  <c r="AG142" i="1" s="1"/>
  <c r="Y141" i="1"/>
  <c r="AA141" i="1" s="1"/>
  <c r="AB141" i="1" s="1"/>
  <c r="AG141" i="1" s="1"/>
  <c r="Y127" i="1"/>
  <c r="AA127" i="1" s="1"/>
  <c r="AB127" i="1" s="1"/>
  <c r="AG127" i="1" s="1"/>
  <c r="AS140" i="1"/>
  <c r="AU140" i="1" s="1"/>
  <c r="AV140" i="1" s="1"/>
  <c r="BA140" i="1" s="1"/>
  <c r="Y140" i="1"/>
  <c r="AA140" i="1" s="1"/>
  <c r="AB140" i="1" s="1"/>
  <c r="AG140" i="1" s="1"/>
  <c r="AS127" i="1"/>
  <c r="AU127" i="1" s="1"/>
  <c r="AV127" i="1" s="1"/>
  <c r="BA127" i="1" s="1"/>
  <c r="AS141" i="1"/>
  <c r="AU141" i="1" s="1"/>
  <c r="AV141" i="1" s="1"/>
  <c r="BA141" i="1" s="1"/>
  <c r="BB141" i="1" s="1"/>
  <c r="AS142" i="1"/>
  <c r="AU142" i="1" s="1"/>
  <c r="AV142" i="1" s="1"/>
  <c r="BA142" i="1" s="1"/>
  <c r="BB142" i="1" s="1"/>
  <c r="AS81" i="1"/>
  <c r="AU81" i="1" s="1"/>
  <c r="AV81" i="1" s="1"/>
  <c r="BA81" i="1" s="1"/>
  <c r="BB81" i="1" s="1"/>
  <c r="Y81" i="1"/>
  <c r="AA81" i="1" s="1"/>
  <c r="AB81" i="1" s="1"/>
  <c r="AG81" i="1" s="1"/>
  <c r="Y139" i="1"/>
  <c r="AA139" i="1" s="1"/>
  <c r="AB139" i="1" s="1"/>
  <c r="AG139" i="1" s="1"/>
  <c r="AS131" i="1"/>
  <c r="AU131" i="1" s="1"/>
  <c r="AV131" i="1" s="1"/>
  <c r="BA131" i="1" s="1"/>
  <c r="BB131" i="1" s="1"/>
  <c r="AS135" i="1"/>
  <c r="AU135" i="1" s="1"/>
  <c r="AV135" i="1" s="1"/>
  <c r="BA135" i="1" s="1"/>
  <c r="BB135" i="1" s="1"/>
  <c r="Y133" i="1"/>
  <c r="AA133" i="1" s="1"/>
  <c r="AB133" i="1" s="1"/>
  <c r="AG133" i="1" s="1"/>
  <c r="AS136" i="1"/>
  <c r="AU136" i="1" s="1"/>
  <c r="AV136" i="1" s="1"/>
  <c r="BA136" i="1" s="1"/>
  <c r="BB136" i="1" s="1"/>
  <c r="Y131" i="1"/>
  <c r="AA131" i="1" s="1"/>
  <c r="AB131" i="1" s="1"/>
  <c r="AG131" i="1" s="1"/>
  <c r="AS137" i="1"/>
  <c r="AU137" i="1" s="1"/>
  <c r="AV137" i="1" s="1"/>
  <c r="BA137" i="1" s="1"/>
  <c r="Y135" i="1"/>
  <c r="AA135" i="1" s="1"/>
  <c r="AB135" i="1" s="1"/>
  <c r="AG135" i="1" s="1"/>
  <c r="AS138" i="1"/>
  <c r="AU138" i="1" s="1"/>
  <c r="AV138" i="1" s="1"/>
  <c r="BA138" i="1" s="1"/>
  <c r="BB138" i="1" s="1"/>
  <c r="Y136" i="1"/>
  <c r="AA136" i="1" s="1"/>
  <c r="AB136" i="1" s="1"/>
  <c r="AG136" i="1" s="1"/>
  <c r="AS139" i="1"/>
  <c r="AU139" i="1" s="1"/>
  <c r="AV139" i="1" s="1"/>
  <c r="BA139" i="1" s="1"/>
  <c r="BB139" i="1" s="1"/>
  <c r="Y137" i="1"/>
  <c r="AA137" i="1" s="1"/>
  <c r="AB137" i="1" s="1"/>
  <c r="AG137" i="1" s="1"/>
  <c r="Y138" i="1"/>
  <c r="AA138" i="1" s="1"/>
  <c r="AB138" i="1" s="1"/>
  <c r="AG138" i="1" s="1"/>
  <c r="AS133" i="1"/>
  <c r="AU133" i="1" s="1"/>
  <c r="AV133" i="1" s="1"/>
  <c r="BA133" i="1" s="1"/>
  <c r="BB133" i="1" s="1"/>
  <c r="Y10" i="1"/>
  <c r="AA10" i="1" s="1"/>
  <c r="AB10" i="1" s="1"/>
  <c r="AG10" i="1" s="1"/>
  <c r="AS13" i="1"/>
  <c r="AU13" i="1" s="1"/>
  <c r="AV13" i="1" s="1"/>
  <c r="BA13" i="1" s="1"/>
  <c r="BB13" i="1" s="1"/>
  <c r="Y11" i="1"/>
  <c r="AA11" i="1" s="1"/>
  <c r="AB11" i="1" s="1"/>
  <c r="AG11" i="1" s="1"/>
  <c r="Y12" i="1"/>
  <c r="AA12" i="1" s="1"/>
  <c r="AB12" i="1" s="1"/>
  <c r="AG12" i="1" s="1"/>
  <c r="Y13" i="1"/>
  <c r="AA13" i="1" s="1"/>
  <c r="AB13" i="1" s="1"/>
  <c r="AG13" i="1" s="1"/>
  <c r="Y14" i="1"/>
  <c r="AA14" i="1" s="1"/>
  <c r="AB14" i="1" s="1"/>
  <c r="AG14" i="1" s="1"/>
  <c r="AS14" i="1"/>
  <c r="AU14" i="1" s="1"/>
  <c r="AV14" i="1" s="1"/>
  <c r="BA14" i="1" s="1"/>
  <c r="BB14" i="1" s="1"/>
  <c r="Y25" i="1"/>
  <c r="AA25" i="1" s="1"/>
  <c r="AB25" i="1" s="1"/>
  <c r="AG25" i="1" s="1"/>
  <c r="Y15" i="1"/>
  <c r="AA15" i="1" s="1"/>
  <c r="AB15" i="1" s="1"/>
  <c r="AG15" i="1" s="1"/>
  <c r="AS15" i="1"/>
  <c r="AU15" i="1" s="1"/>
  <c r="AV15" i="1" s="1"/>
  <c r="BA15" i="1" s="1"/>
  <c r="BB15" i="1" s="1"/>
  <c r="AS10" i="1"/>
  <c r="AU10" i="1" s="1"/>
  <c r="AV10" i="1" s="1"/>
  <c r="BA10" i="1" s="1"/>
  <c r="BB10" i="1" s="1"/>
  <c r="AS11" i="1"/>
  <c r="AU11" i="1" s="1"/>
  <c r="AV11" i="1" s="1"/>
  <c r="BA11" i="1" s="1"/>
  <c r="BB11" i="1" s="1"/>
  <c r="AS25" i="1"/>
  <c r="AU25" i="1" s="1"/>
  <c r="AV25" i="1" s="1"/>
  <c r="BA25" i="1" s="1"/>
  <c r="BB25" i="1" s="1"/>
  <c r="AS12" i="1"/>
  <c r="AU12" i="1" s="1"/>
  <c r="AV12" i="1" s="1"/>
  <c r="BA12" i="1" s="1"/>
  <c r="BB12" i="1" s="1"/>
  <c r="Y114" i="1"/>
  <c r="AA114" i="1" s="1"/>
  <c r="AB114" i="1" s="1"/>
  <c r="AG114" i="1" s="1"/>
  <c r="AS114" i="1"/>
  <c r="AU114" i="1" s="1"/>
  <c r="AV114" i="1" s="1"/>
  <c r="BA114" i="1" s="1"/>
  <c r="BB114" i="1" s="1"/>
  <c r="AS26" i="1"/>
  <c r="AU26" i="1" s="1"/>
  <c r="AV26" i="1" s="1"/>
  <c r="BA26" i="1" s="1"/>
  <c r="BB26" i="1" s="1"/>
  <c r="Y26" i="1"/>
  <c r="AA26" i="1" s="1"/>
  <c r="AB26" i="1" s="1"/>
  <c r="AG26" i="1" s="1"/>
  <c r="Y87" i="1"/>
  <c r="AA87" i="1" s="1"/>
  <c r="AB87" i="1" s="1"/>
  <c r="AG87" i="1" s="1"/>
  <c r="AS85" i="1"/>
  <c r="AU85" i="1" s="1"/>
  <c r="AV85" i="1" s="1"/>
  <c r="BA85" i="1" s="1"/>
  <c r="BB85" i="1" s="1"/>
  <c r="AS87" i="1"/>
  <c r="AU87" i="1" s="1"/>
  <c r="AV87" i="1" s="1"/>
  <c r="BA87" i="1" s="1"/>
  <c r="BB87" i="1" s="1"/>
  <c r="Y82" i="1"/>
  <c r="AA82" i="1" s="1"/>
  <c r="AB82" i="1" s="1"/>
  <c r="AG82" i="1" s="1"/>
  <c r="Y88" i="1"/>
  <c r="AA88" i="1" s="1"/>
  <c r="AB88" i="1" s="1"/>
  <c r="AG88" i="1" s="1"/>
  <c r="Y83" i="1"/>
  <c r="AA83" i="1" s="1"/>
  <c r="AB83" i="1" s="1"/>
  <c r="AG83" i="1" s="1"/>
  <c r="AS82" i="1"/>
  <c r="AU82" i="1" s="1"/>
  <c r="AV82" i="1" s="1"/>
  <c r="BA82" i="1" s="1"/>
  <c r="BB82" i="1" s="1"/>
  <c r="Y80" i="1"/>
  <c r="AA80" i="1" s="1"/>
  <c r="AB80" i="1" s="1"/>
  <c r="AG80" i="1" s="1"/>
  <c r="Y85" i="1"/>
  <c r="AA85" i="1" s="1"/>
  <c r="AB85" i="1" s="1"/>
  <c r="AG85" i="1" s="1"/>
  <c r="AS83" i="1"/>
  <c r="AU83" i="1" s="1"/>
  <c r="AV83" i="1" s="1"/>
  <c r="BA83" i="1" s="1"/>
  <c r="BB83" i="1" s="1"/>
  <c r="AS88" i="1"/>
  <c r="AU88" i="1" s="1"/>
  <c r="AV88" i="1" s="1"/>
  <c r="BA88" i="1" s="1"/>
  <c r="BB88" i="1" s="1"/>
  <c r="AS80" i="1"/>
  <c r="AU80" i="1" s="1"/>
  <c r="AV80" i="1" s="1"/>
  <c r="BA80" i="1" s="1"/>
  <c r="BB80" i="1" s="1"/>
  <c r="AS156" i="1"/>
  <c r="AU156" i="1" s="1"/>
  <c r="AV156" i="1" s="1"/>
  <c r="BA156" i="1" s="1"/>
  <c r="BB156" i="1" s="1"/>
  <c r="Y153" i="1"/>
  <c r="AA153" i="1" s="1"/>
  <c r="AB153" i="1" s="1"/>
  <c r="AG153" i="1" s="1"/>
  <c r="Y154" i="1"/>
  <c r="AA154" i="1" s="1"/>
  <c r="AB154" i="1" s="1"/>
  <c r="AG154" i="1" s="1"/>
  <c r="Y155" i="1"/>
  <c r="AA155" i="1" s="1"/>
  <c r="AB155" i="1" s="1"/>
  <c r="AG155" i="1" s="1"/>
  <c r="AS153" i="1"/>
  <c r="AU153" i="1" s="1"/>
  <c r="AV153" i="1" s="1"/>
  <c r="BA153" i="1" s="1"/>
  <c r="BB153" i="1" s="1"/>
  <c r="Y156" i="1"/>
  <c r="AA156" i="1" s="1"/>
  <c r="AB156" i="1" s="1"/>
  <c r="AG156" i="1" s="1"/>
  <c r="AS154" i="1"/>
  <c r="AU154" i="1" s="1"/>
  <c r="AV154" i="1" s="1"/>
  <c r="BA154" i="1" s="1"/>
  <c r="BB154" i="1" s="1"/>
  <c r="AS155" i="1"/>
  <c r="AU155" i="1" s="1"/>
  <c r="AV155" i="1" s="1"/>
  <c r="BA155" i="1" s="1"/>
  <c r="BB155" i="1" s="1"/>
  <c r="AS112" i="1"/>
  <c r="AU112" i="1" s="1"/>
  <c r="AV112" i="1" s="1"/>
  <c r="BA112" i="1" s="1"/>
  <c r="BB112" i="1" s="1"/>
  <c r="Y72" i="1"/>
  <c r="AA72" i="1" s="1"/>
  <c r="AB72" i="1" s="1"/>
  <c r="AG72" i="1" s="1"/>
  <c r="Y107" i="1"/>
  <c r="AA107" i="1" s="1"/>
  <c r="AB107" i="1" s="1"/>
  <c r="AG107" i="1" s="1"/>
  <c r="AS107" i="1"/>
  <c r="AU107" i="1" s="1"/>
  <c r="AV107" i="1" s="1"/>
  <c r="BA107" i="1" s="1"/>
  <c r="BB107" i="1" s="1"/>
  <c r="Y103" i="1"/>
  <c r="AA103" i="1" s="1"/>
  <c r="AB103" i="1" s="1"/>
  <c r="AG103" i="1" s="1"/>
  <c r="Y98" i="1"/>
  <c r="AA98" i="1" s="1"/>
  <c r="AB98" i="1" s="1"/>
  <c r="AG98" i="1" s="1"/>
  <c r="Y96" i="1"/>
  <c r="AA96" i="1" s="1"/>
  <c r="AB96" i="1" s="1"/>
  <c r="AG96" i="1" s="1"/>
  <c r="Y78" i="1"/>
  <c r="AA78" i="1" s="1"/>
  <c r="AB78" i="1" s="1"/>
  <c r="AG78" i="1" s="1"/>
  <c r="Y75" i="1"/>
  <c r="AA75" i="1" s="1"/>
  <c r="AB75" i="1" s="1"/>
  <c r="AG75" i="1" s="1"/>
  <c r="AS76" i="1"/>
  <c r="AU76" i="1" s="1"/>
  <c r="AV76" i="1" s="1"/>
  <c r="BA76" i="1" s="1"/>
  <c r="BB76" i="1" s="1"/>
  <c r="Y67" i="1"/>
  <c r="AA67" i="1" s="1"/>
  <c r="AB67" i="1" s="1"/>
  <c r="AG67" i="1" s="1"/>
  <c r="AS64" i="1"/>
  <c r="AU64" i="1" s="1"/>
  <c r="AV64" i="1" s="1"/>
  <c r="BA64" i="1" s="1"/>
  <c r="Y59" i="1"/>
  <c r="AA59" i="1" s="1"/>
  <c r="AB59" i="1" s="1"/>
  <c r="AG59" i="1" s="1"/>
  <c r="AS62" i="1"/>
  <c r="AU62" i="1" s="1"/>
  <c r="AV62" i="1" s="1"/>
  <c r="BA62" i="1" s="1"/>
  <c r="Y38" i="1"/>
  <c r="AA38" i="1" s="1"/>
  <c r="AB38" i="1" s="1"/>
  <c r="AG38" i="1" s="1"/>
  <c r="Y35" i="1"/>
  <c r="AA35" i="1" s="1"/>
  <c r="AB35" i="1" s="1"/>
  <c r="AG35" i="1" s="1"/>
  <c r="AS35" i="1"/>
  <c r="AU35" i="1" s="1"/>
  <c r="AV35" i="1" s="1"/>
  <c r="BA35" i="1" s="1"/>
  <c r="BB35" i="1" s="1"/>
  <c r="Y105" i="1"/>
  <c r="AA105" i="1" s="1"/>
  <c r="AB105" i="1" s="1"/>
  <c r="AG105" i="1" s="1"/>
  <c r="AS65" i="1"/>
  <c r="AU65" i="1" s="1"/>
  <c r="AV65" i="1" s="1"/>
  <c r="BA65" i="1" s="1"/>
  <c r="BB65" i="1" s="1"/>
  <c r="Y8" i="1"/>
  <c r="AA8" i="1" s="1"/>
  <c r="AB8" i="1" s="1"/>
  <c r="AG8" i="1" s="1"/>
  <c r="Y108" i="1"/>
  <c r="AA108" i="1" s="1"/>
  <c r="AB108" i="1" s="1"/>
  <c r="AG108" i="1" s="1"/>
  <c r="AS108" i="1"/>
  <c r="AU108" i="1" s="1"/>
  <c r="AV108" i="1" s="1"/>
  <c r="BA108" i="1" s="1"/>
  <c r="BB108" i="1" s="1"/>
  <c r="Y99" i="1"/>
  <c r="AA99" i="1" s="1"/>
  <c r="AB99" i="1" s="1"/>
  <c r="AG99" i="1" s="1"/>
  <c r="AS98" i="1"/>
  <c r="AU98" i="1" s="1"/>
  <c r="AV98" i="1" s="1"/>
  <c r="BA98" i="1" s="1"/>
  <c r="BB98" i="1" s="1"/>
  <c r="Y79" i="1"/>
  <c r="AS86" i="1"/>
  <c r="AU86" i="1" s="1"/>
  <c r="AV86" i="1" s="1"/>
  <c r="BA86" i="1" s="1"/>
  <c r="BB86" i="1" s="1"/>
  <c r="Y76" i="1"/>
  <c r="AA76" i="1" s="1"/>
  <c r="AB76" i="1" s="1"/>
  <c r="AG76" i="1" s="1"/>
  <c r="AS77" i="1"/>
  <c r="AU77" i="1" s="1"/>
  <c r="AV77" i="1" s="1"/>
  <c r="BA77" i="1" s="1"/>
  <c r="BB77" i="1" s="1"/>
  <c r="AS71" i="1"/>
  <c r="AU71" i="1" s="1"/>
  <c r="AV71" i="1" s="1"/>
  <c r="BA71" i="1" s="1"/>
  <c r="BB71" i="1" s="1"/>
  <c r="Y68" i="1"/>
  <c r="AA68" i="1" s="1"/>
  <c r="AB68" i="1" s="1"/>
  <c r="AG68" i="1" s="1"/>
  <c r="AS66" i="1"/>
  <c r="AU66" i="1" s="1"/>
  <c r="AV66" i="1" s="1"/>
  <c r="BA66" i="1" s="1"/>
  <c r="BB66" i="1" s="1"/>
  <c r="Y60" i="1"/>
  <c r="AA60" i="1" s="1"/>
  <c r="AB60" i="1" s="1"/>
  <c r="AG60" i="1" s="1"/>
  <c r="Y36" i="1"/>
  <c r="AA36" i="1" s="1"/>
  <c r="AB36" i="1" s="1"/>
  <c r="AG36" i="1" s="1"/>
  <c r="AS36" i="1"/>
  <c r="AU36" i="1" s="1"/>
  <c r="AV36" i="1" s="1"/>
  <c r="BA36" i="1" s="1"/>
  <c r="BB36" i="1" s="1"/>
  <c r="Y104" i="1"/>
  <c r="AA104" i="1" s="1"/>
  <c r="AB104" i="1" s="1"/>
  <c r="AG104" i="1" s="1"/>
  <c r="Y64" i="1"/>
  <c r="AA64" i="1" s="1"/>
  <c r="AB64" i="1" s="1"/>
  <c r="AG64" i="1" s="1"/>
  <c r="Y112" i="1"/>
  <c r="AA112" i="1" s="1"/>
  <c r="AB112" i="1" s="1"/>
  <c r="AG112" i="1" s="1"/>
  <c r="Y109" i="1"/>
  <c r="AA109" i="1" s="1"/>
  <c r="AB109" i="1" s="1"/>
  <c r="AG109" i="1" s="1"/>
  <c r="AS109" i="1"/>
  <c r="AU109" i="1" s="1"/>
  <c r="AV109" i="1" s="1"/>
  <c r="BA109" i="1" s="1"/>
  <c r="BB109" i="1" s="1"/>
  <c r="AS103" i="1"/>
  <c r="AU103" i="1" s="1"/>
  <c r="AV103" i="1" s="1"/>
  <c r="BA103" i="1" s="1"/>
  <c r="BB103" i="1" s="1"/>
  <c r="Y102" i="1"/>
  <c r="AA102" i="1" s="1"/>
  <c r="AB102" i="1" s="1"/>
  <c r="AG102" i="1" s="1"/>
  <c r="Y100" i="1"/>
  <c r="AA100" i="1" s="1"/>
  <c r="AB100" i="1" s="1"/>
  <c r="AG100" i="1" s="1"/>
  <c r="AS99" i="1"/>
  <c r="AU99" i="1" s="1"/>
  <c r="AV99" i="1" s="1"/>
  <c r="BA99" i="1" s="1"/>
  <c r="BB99" i="1" s="1"/>
  <c r="Y77" i="1"/>
  <c r="AA77" i="1" s="1"/>
  <c r="AB77" i="1" s="1"/>
  <c r="AG77" i="1" s="1"/>
  <c r="Y69" i="1"/>
  <c r="AA69" i="1" s="1"/>
  <c r="AB69" i="1" s="1"/>
  <c r="AG69" i="1" s="1"/>
  <c r="AS67" i="1"/>
  <c r="AU67" i="1" s="1"/>
  <c r="AV67" i="1" s="1"/>
  <c r="BA67" i="1" s="1"/>
  <c r="BB67" i="1" s="1"/>
  <c r="Y61" i="1"/>
  <c r="AA61" i="1" s="1"/>
  <c r="AB61" i="1" s="1"/>
  <c r="AG61" i="1" s="1"/>
  <c r="AS38" i="1"/>
  <c r="AU38" i="1" s="1"/>
  <c r="AV38" i="1" s="1"/>
  <c r="BA38" i="1" s="1"/>
  <c r="BB38" i="1" s="1"/>
  <c r="Y37" i="1"/>
  <c r="AA37" i="1" s="1"/>
  <c r="AB37" i="1" s="1"/>
  <c r="AG37" i="1" s="1"/>
  <c r="AS37" i="1"/>
  <c r="AU37" i="1" s="1"/>
  <c r="AV37" i="1" s="1"/>
  <c r="BA37" i="1" s="1"/>
  <c r="BB37" i="1" s="1"/>
  <c r="Y33" i="1"/>
  <c r="AA33" i="1" s="1"/>
  <c r="AB33" i="1" s="1"/>
  <c r="AG33" i="1" s="1"/>
  <c r="Y5" i="1"/>
  <c r="AA5" i="1" s="1"/>
  <c r="AB5" i="1" s="1"/>
  <c r="AG5" i="1" s="1"/>
  <c r="AS5" i="1"/>
  <c r="AU5" i="1" s="1"/>
  <c r="AV5" i="1" s="1"/>
  <c r="BA5" i="1" s="1"/>
  <c r="BB5" i="1" s="1"/>
  <c r="AS96" i="1"/>
  <c r="AU96" i="1" s="1"/>
  <c r="AV96" i="1" s="1"/>
  <c r="BA96" i="1" s="1"/>
  <c r="BB96" i="1" s="1"/>
  <c r="Y41" i="1"/>
  <c r="AA41" i="1" s="1"/>
  <c r="AB41" i="1" s="1"/>
  <c r="AG41" i="1" s="1"/>
  <c r="Y110" i="1"/>
  <c r="AA110" i="1" s="1"/>
  <c r="AB110" i="1" s="1"/>
  <c r="AG110" i="1" s="1"/>
  <c r="AS110" i="1"/>
  <c r="AU110" i="1" s="1"/>
  <c r="AV110" i="1" s="1"/>
  <c r="BA110" i="1" s="1"/>
  <c r="BB110" i="1" s="1"/>
  <c r="AS100" i="1"/>
  <c r="AU100" i="1" s="1"/>
  <c r="AV100" i="1" s="1"/>
  <c r="BA100" i="1" s="1"/>
  <c r="BB100" i="1" s="1"/>
  <c r="AS78" i="1"/>
  <c r="AU78" i="1" s="1"/>
  <c r="AV78" i="1" s="1"/>
  <c r="BA78" i="1" s="1"/>
  <c r="Y70" i="1"/>
  <c r="AA70" i="1" s="1"/>
  <c r="AB70" i="1" s="1"/>
  <c r="AG70" i="1" s="1"/>
  <c r="AS68" i="1"/>
  <c r="AU68" i="1" s="1"/>
  <c r="AV68" i="1" s="1"/>
  <c r="BA68" i="1" s="1"/>
  <c r="BB68" i="1" s="1"/>
  <c r="Y62" i="1"/>
  <c r="AA62" i="1" s="1"/>
  <c r="AB62" i="1" s="1"/>
  <c r="AG62" i="1" s="1"/>
  <c r="Y34" i="1"/>
  <c r="AA34" i="1" s="1"/>
  <c r="AB34" i="1" s="1"/>
  <c r="AG34" i="1" s="1"/>
  <c r="AS27" i="1"/>
  <c r="AU27" i="1" s="1"/>
  <c r="AV27" i="1" s="1"/>
  <c r="BA27" i="1" s="1"/>
  <c r="BB27" i="1" s="1"/>
  <c r="AS21" i="1"/>
  <c r="AU21" i="1" s="1"/>
  <c r="AV21" i="1" s="1"/>
  <c r="BA21" i="1" s="1"/>
  <c r="BB21" i="1" s="1"/>
  <c r="Y6" i="1"/>
  <c r="AA6" i="1" s="1"/>
  <c r="AB6" i="1" s="1"/>
  <c r="AG6" i="1" s="1"/>
  <c r="AS6" i="1"/>
  <c r="AU6" i="1" s="1"/>
  <c r="AV6" i="1" s="1"/>
  <c r="BA6" i="1" s="1"/>
  <c r="BB6" i="1" s="1"/>
  <c r="Y40" i="1"/>
  <c r="AA40" i="1" s="1"/>
  <c r="AB40" i="1" s="1"/>
  <c r="AG40" i="1" s="1"/>
  <c r="Y111" i="1"/>
  <c r="AA111" i="1" s="1"/>
  <c r="AB111" i="1" s="1"/>
  <c r="AG111" i="1" s="1"/>
  <c r="AS111" i="1"/>
  <c r="AU111" i="1" s="1"/>
  <c r="AV111" i="1" s="1"/>
  <c r="BA111" i="1" s="1"/>
  <c r="BB111" i="1" s="1"/>
  <c r="AS102" i="1"/>
  <c r="AU102" i="1" s="1"/>
  <c r="AV102" i="1" s="1"/>
  <c r="BA102" i="1" s="1"/>
  <c r="BB102" i="1" s="1"/>
  <c r="AS79" i="1"/>
  <c r="AU79" i="1" s="1"/>
  <c r="AV79" i="1" s="1"/>
  <c r="BA79" i="1" s="1"/>
  <c r="AS69" i="1"/>
  <c r="AU69" i="1" s="1"/>
  <c r="AV69" i="1" s="1"/>
  <c r="BA69" i="1" s="1"/>
  <c r="BB69" i="1" s="1"/>
  <c r="AS58" i="1"/>
  <c r="AU58" i="1" s="1"/>
  <c r="AV58" i="1" s="1"/>
  <c r="BA58" i="1" s="1"/>
  <c r="BB58" i="1" s="1"/>
  <c r="Y7" i="1"/>
  <c r="AA7" i="1" s="1"/>
  <c r="AB7" i="1" s="1"/>
  <c r="AG7" i="1" s="1"/>
  <c r="AS7" i="1"/>
  <c r="AU7" i="1" s="1"/>
  <c r="AV7" i="1" s="1"/>
  <c r="BA7" i="1" s="1"/>
  <c r="BB7" i="1" s="1"/>
  <c r="AS33" i="1"/>
  <c r="AU33" i="1" s="1"/>
  <c r="AV33" i="1" s="1"/>
  <c r="BA33" i="1" s="1"/>
  <c r="BB33" i="1" s="1"/>
  <c r="Y84" i="1"/>
  <c r="AA84" i="1" s="1"/>
  <c r="AB84" i="1" s="1"/>
  <c r="AG84" i="1" s="1"/>
  <c r="AS70" i="1"/>
  <c r="AU70" i="1" s="1"/>
  <c r="AV70" i="1" s="1"/>
  <c r="BA70" i="1" s="1"/>
  <c r="BB70" i="1" s="1"/>
  <c r="AS59" i="1"/>
  <c r="AU59" i="1" s="1"/>
  <c r="AV59" i="1" s="1"/>
  <c r="BA59" i="1" s="1"/>
  <c r="Y21" i="1"/>
  <c r="AA21" i="1" s="1"/>
  <c r="AB21" i="1" s="1"/>
  <c r="AG21" i="1" s="1"/>
  <c r="Y71" i="1"/>
  <c r="AA71" i="1" s="1"/>
  <c r="AB71" i="1" s="1"/>
  <c r="AG71" i="1" s="1"/>
  <c r="AS60" i="1"/>
  <c r="AU60" i="1" s="1"/>
  <c r="AV60" i="1" s="1"/>
  <c r="BA60" i="1" s="1"/>
  <c r="AS41" i="1"/>
  <c r="AU41" i="1" s="1"/>
  <c r="AV41" i="1" s="1"/>
  <c r="BA41" i="1" s="1"/>
  <c r="BB41" i="1" s="1"/>
  <c r="AS34" i="1"/>
  <c r="AU34" i="1" s="1"/>
  <c r="AV34" i="1" s="1"/>
  <c r="BA34" i="1" s="1"/>
  <c r="BB34" i="1" s="1"/>
  <c r="AS73" i="1"/>
  <c r="AU73" i="1" s="1"/>
  <c r="AV73" i="1" s="1"/>
  <c r="BA73" i="1" s="1"/>
  <c r="BB73" i="1" s="1"/>
  <c r="Y86" i="1"/>
  <c r="AA86" i="1" s="1"/>
  <c r="AB86" i="1" s="1"/>
  <c r="AG86" i="1" s="1"/>
  <c r="AS84" i="1"/>
  <c r="AU84" i="1" s="1"/>
  <c r="AV84" i="1" s="1"/>
  <c r="BA84" i="1" s="1"/>
  <c r="BB84" i="1" s="1"/>
  <c r="AS75" i="1"/>
  <c r="AU75" i="1" s="1"/>
  <c r="AV75" i="1" s="1"/>
  <c r="BA75" i="1" s="1"/>
  <c r="Y66" i="1"/>
  <c r="AA66" i="1" s="1"/>
  <c r="AB66" i="1" s="1"/>
  <c r="AG66" i="1" s="1"/>
  <c r="Y58" i="1"/>
  <c r="AA58" i="1" s="1"/>
  <c r="AB58" i="1" s="1"/>
  <c r="AG58" i="1" s="1"/>
  <c r="AS61" i="1"/>
  <c r="AU61" i="1" s="1"/>
  <c r="AV61" i="1" s="1"/>
  <c r="BA61" i="1" s="1"/>
  <c r="BB61" i="1" s="1"/>
  <c r="Y27" i="1"/>
  <c r="AA27" i="1" s="1"/>
  <c r="AB27" i="1" s="1"/>
  <c r="AG27" i="1" s="1"/>
  <c r="AS105" i="1"/>
  <c r="AU105" i="1" s="1"/>
  <c r="AV105" i="1" s="1"/>
  <c r="BA105" i="1" s="1"/>
  <c r="BB105" i="1" s="1"/>
  <c r="AS104" i="1"/>
  <c r="AU104" i="1" s="1"/>
  <c r="AV104" i="1" s="1"/>
  <c r="BA104" i="1" s="1"/>
  <c r="BB104" i="1" s="1"/>
  <c r="AS40" i="1"/>
  <c r="AU40" i="1" s="1"/>
  <c r="AV40" i="1" s="1"/>
  <c r="BA40" i="1" s="1"/>
  <c r="BB40" i="1" s="1"/>
  <c r="AS72" i="1"/>
  <c r="AU72" i="1" s="1"/>
  <c r="AV72" i="1" s="1"/>
  <c r="BA72" i="1" s="1"/>
  <c r="BB72" i="1" s="1"/>
  <c r="Y65" i="1"/>
  <c r="AA65" i="1" s="1"/>
  <c r="AB65" i="1" s="1"/>
  <c r="AG65" i="1" s="1"/>
  <c r="AS8" i="1"/>
  <c r="AU8" i="1" s="1"/>
  <c r="AV8" i="1" s="1"/>
  <c r="BA8" i="1" s="1"/>
  <c r="BB8" i="1" s="1"/>
  <c r="Y73" i="1"/>
  <c r="AA73" i="1" s="1"/>
  <c r="AB73" i="1" s="1"/>
  <c r="AG73" i="1" s="1"/>
  <c r="Y24" i="1"/>
  <c r="AA24" i="1" s="1"/>
  <c r="AB24" i="1" s="1"/>
  <c r="AG24" i="1" s="1"/>
  <c r="AS44" i="1"/>
  <c r="AU44" i="1" s="1"/>
  <c r="AV44" i="1" s="1"/>
  <c r="BA44" i="1" s="1"/>
  <c r="BB44" i="1" s="1"/>
  <c r="Y28" i="1"/>
  <c r="AA28" i="1" s="1"/>
  <c r="AB28" i="1" s="1"/>
  <c r="AG28" i="1" s="1"/>
  <c r="AS47" i="1"/>
  <c r="AU47" i="1" s="1"/>
  <c r="AV47" i="1" s="1"/>
  <c r="BA47" i="1" s="1"/>
  <c r="BB47" i="1" s="1"/>
  <c r="Y29" i="1"/>
  <c r="AA29" i="1" s="1"/>
  <c r="AB29" i="1" s="1"/>
  <c r="AG29" i="1" s="1"/>
  <c r="AS28" i="1"/>
  <c r="AU28" i="1" s="1"/>
  <c r="AV28" i="1" s="1"/>
  <c r="BA28" i="1" s="1"/>
  <c r="BB28" i="1" s="1"/>
  <c r="Y43" i="1"/>
  <c r="AA43" i="1" s="1"/>
  <c r="AB43" i="1" s="1"/>
  <c r="AG43" i="1" s="1"/>
  <c r="AS29" i="1"/>
  <c r="AU29" i="1" s="1"/>
  <c r="AV29" i="1" s="1"/>
  <c r="BA29" i="1" s="1"/>
  <c r="BB29" i="1" s="1"/>
  <c r="AS32" i="1"/>
  <c r="AU32" i="1" s="1"/>
  <c r="AV32" i="1" s="1"/>
  <c r="BA32" i="1" s="1"/>
  <c r="BB32" i="1" s="1"/>
  <c r="Y47" i="1"/>
  <c r="AA47" i="1" s="1"/>
  <c r="AB47" i="1" s="1"/>
  <c r="AG47" i="1" s="1"/>
  <c r="Y44" i="1"/>
  <c r="AA44" i="1" s="1"/>
  <c r="AB44" i="1" s="1"/>
  <c r="AG44" i="1" s="1"/>
  <c r="AS43" i="1"/>
  <c r="AU43" i="1" s="1"/>
  <c r="AV43" i="1" s="1"/>
  <c r="BA43" i="1" s="1"/>
  <c r="BB43" i="1" s="1"/>
  <c r="Y32" i="1"/>
  <c r="AA32" i="1" s="1"/>
  <c r="AB32" i="1" s="1"/>
  <c r="AG32" i="1" s="1"/>
  <c r="AS24" i="1"/>
  <c r="AU24" i="1" s="1"/>
  <c r="AV24" i="1" s="1"/>
  <c r="BA24" i="1" s="1"/>
  <c r="BB24" i="1" s="1"/>
  <c r="Y120" i="1"/>
  <c r="AA120" i="1" s="1"/>
  <c r="AB120" i="1" s="1"/>
  <c r="AG120" i="1" s="1"/>
  <c r="Y121" i="1"/>
  <c r="AA121" i="1" s="1"/>
  <c r="AB121" i="1" s="1"/>
  <c r="AG121" i="1" s="1"/>
  <c r="Y125" i="1"/>
  <c r="AA125" i="1" s="1"/>
  <c r="AB125" i="1" s="1"/>
  <c r="AG125" i="1" s="1"/>
  <c r="AS124" i="1"/>
  <c r="AU124" i="1" s="1"/>
  <c r="AV124" i="1" s="1"/>
  <c r="BA124" i="1" s="1"/>
  <c r="BB124" i="1" s="1"/>
  <c r="Y124" i="1"/>
  <c r="AA124" i="1" s="1"/>
  <c r="AB124" i="1" s="1"/>
  <c r="AG124" i="1" s="1"/>
  <c r="AS121" i="1"/>
  <c r="AU121" i="1" s="1"/>
  <c r="AV121" i="1" s="1"/>
  <c r="BA121" i="1" s="1"/>
  <c r="BB121" i="1" s="1"/>
  <c r="AS120" i="1"/>
  <c r="AU120" i="1" s="1"/>
  <c r="AV120" i="1" s="1"/>
  <c r="BA120" i="1" s="1"/>
  <c r="BB120" i="1" s="1"/>
  <c r="AS125" i="1"/>
  <c r="AU125" i="1" s="1"/>
  <c r="AV125" i="1" s="1"/>
  <c r="BA125" i="1" s="1"/>
  <c r="BB125" i="1" s="1"/>
  <c r="Y118" i="1"/>
  <c r="AA118" i="1" s="1"/>
  <c r="AB118" i="1" s="1"/>
  <c r="AG118" i="1" s="1"/>
  <c r="AS117" i="1"/>
  <c r="AU117" i="1" s="1"/>
  <c r="AV117" i="1" s="1"/>
  <c r="BA117" i="1" s="1"/>
  <c r="BB117" i="1" s="1"/>
  <c r="Y119" i="1"/>
  <c r="AA119" i="1" s="1"/>
  <c r="AB119" i="1" s="1"/>
  <c r="AG119" i="1" s="1"/>
  <c r="AS118" i="1"/>
  <c r="AU118" i="1" s="1"/>
  <c r="AV118" i="1" s="1"/>
  <c r="BA118" i="1" s="1"/>
  <c r="BB118" i="1" s="1"/>
  <c r="AS119" i="1"/>
  <c r="AU119" i="1" s="1"/>
  <c r="AV119" i="1" s="1"/>
  <c r="BA119" i="1" s="1"/>
  <c r="BB119" i="1" s="1"/>
  <c r="Y115" i="1"/>
  <c r="AA115" i="1" s="1"/>
  <c r="AB115" i="1" s="1"/>
  <c r="AG115" i="1" s="1"/>
  <c r="AS20" i="1"/>
  <c r="AU20" i="1" s="1"/>
  <c r="AV20" i="1" s="1"/>
  <c r="BA20" i="1" s="1"/>
  <c r="BB20" i="1" s="1"/>
  <c r="Y20" i="1"/>
  <c r="AA20" i="1" s="1"/>
  <c r="AB20" i="1" s="1"/>
  <c r="AG20" i="1" s="1"/>
  <c r="Y116" i="1"/>
  <c r="AA116" i="1" s="1"/>
  <c r="AB116" i="1" s="1"/>
  <c r="AG116" i="1" s="1"/>
  <c r="AS115" i="1"/>
  <c r="AU115" i="1" s="1"/>
  <c r="AV115" i="1" s="1"/>
  <c r="BA115" i="1" s="1"/>
  <c r="BB115" i="1" s="1"/>
  <c r="Y117" i="1"/>
  <c r="AA117" i="1" s="1"/>
  <c r="AB117" i="1" s="1"/>
  <c r="AG117" i="1" s="1"/>
  <c r="AS116" i="1"/>
  <c r="AU116" i="1" s="1"/>
  <c r="AV116" i="1" s="1"/>
  <c r="BA116" i="1" s="1"/>
  <c r="BB116" i="1" s="1"/>
  <c r="F18" i="45"/>
  <c r="AA35" i="45"/>
  <c r="F45" i="45"/>
  <c r="F12" i="45"/>
  <c r="F39" i="45"/>
  <c r="U39" i="45"/>
  <c r="F8" i="45"/>
  <c r="F35" i="45"/>
  <c r="U35" i="45"/>
  <c r="F14" i="45"/>
  <c r="U41" i="45"/>
  <c r="F41" i="45"/>
  <c r="F10" i="45"/>
  <c r="U37" i="45"/>
  <c r="F37" i="45"/>
  <c r="F26" i="45"/>
  <c r="AA43" i="45"/>
  <c r="F53" i="45"/>
  <c r="F24" i="45"/>
  <c r="AA41" i="45"/>
  <c r="F51" i="45"/>
  <c r="F16" i="45"/>
  <c r="U43" i="45"/>
  <c r="F43" i="45"/>
  <c r="F22" i="45"/>
  <c r="AA39" i="45"/>
  <c r="F49" i="45"/>
  <c r="F20" i="45"/>
  <c r="AA37" i="45"/>
  <c r="F47" i="45"/>
  <c r="Y149" i="1"/>
  <c r="AA149" i="1" s="1"/>
  <c r="AB149" i="1" s="1"/>
  <c r="AG149" i="1" s="1"/>
  <c r="Y150" i="1"/>
  <c r="AA150" i="1" s="1"/>
  <c r="AB150" i="1" s="1"/>
  <c r="AG150" i="1" s="1"/>
  <c r="Y151" i="1"/>
  <c r="AA151" i="1" s="1"/>
  <c r="AB151" i="1" s="1"/>
  <c r="AG151" i="1" s="1"/>
  <c r="Y145" i="1"/>
  <c r="AA145" i="1" s="1"/>
  <c r="AB145" i="1" s="1"/>
  <c r="AG145" i="1" s="1"/>
  <c r="Y152" i="1"/>
  <c r="AA152" i="1" s="1"/>
  <c r="AB152" i="1" s="1"/>
  <c r="AG152" i="1" s="1"/>
  <c r="Y122" i="1"/>
  <c r="AA122" i="1" s="1"/>
  <c r="AB122" i="1" s="1"/>
  <c r="AG122" i="1" s="1"/>
  <c r="Y143" i="1"/>
  <c r="AA143" i="1" s="1"/>
  <c r="AB143" i="1" s="1"/>
  <c r="AG143" i="1" s="1"/>
  <c r="Y134" i="1"/>
  <c r="AA134" i="1" s="1"/>
  <c r="AB134" i="1" s="1"/>
  <c r="AG134" i="1" s="1"/>
  <c r="Y144" i="1"/>
  <c r="AA144" i="1" s="1"/>
  <c r="AB144" i="1" s="1"/>
  <c r="AG144" i="1" s="1"/>
  <c r="Y147" i="1"/>
  <c r="AA147" i="1" s="1"/>
  <c r="AB147" i="1" s="1"/>
  <c r="AG147" i="1" s="1"/>
  <c r="Y123" i="1"/>
  <c r="AA123" i="1" s="1"/>
  <c r="AB123" i="1" s="1"/>
  <c r="AG123" i="1" s="1"/>
  <c r="Y129" i="1"/>
  <c r="AA129" i="1" s="1"/>
  <c r="AB129" i="1" s="1"/>
  <c r="AG129" i="1" s="1"/>
  <c r="Y130" i="1"/>
  <c r="AA130" i="1" s="1"/>
  <c r="AB130" i="1" s="1"/>
  <c r="AG130" i="1" s="1"/>
  <c r="Y148" i="1"/>
  <c r="AA148" i="1" s="1"/>
  <c r="AB148" i="1" s="1"/>
  <c r="AG148" i="1" s="1"/>
  <c r="Y132" i="1"/>
  <c r="AA132" i="1" s="1"/>
  <c r="AB132" i="1" s="1"/>
  <c r="AG132" i="1" s="1"/>
  <c r="Y146" i="1"/>
  <c r="AA146" i="1" s="1"/>
  <c r="AB146" i="1" s="1"/>
  <c r="AG146" i="1" s="1"/>
  <c r="AS150" i="1"/>
  <c r="AU150" i="1" s="1"/>
  <c r="AV150" i="1" s="1"/>
  <c r="BA150" i="1" s="1"/>
  <c r="BB150" i="1" s="1"/>
  <c r="AS122" i="1"/>
  <c r="AU122" i="1" s="1"/>
  <c r="AV122" i="1" s="1"/>
  <c r="BA122" i="1" s="1"/>
  <c r="BB122" i="1" s="1"/>
  <c r="AS148" i="1"/>
  <c r="AU148" i="1" s="1"/>
  <c r="AV148" i="1" s="1"/>
  <c r="BA148" i="1" s="1"/>
  <c r="BB148" i="1" s="1"/>
  <c r="AS146" i="1"/>
  <c r="AU146" i="1" s="1"/>
  <c r="AV146" i="1" s="1"/>
  <c r="BA146" i="1" s="1"/>
  <c r="BB146" i="1" s="1"/>
  <c r="AS130" i="1"/>
  <c r="AU130" i="1" s="1"/>
  <c r="AV130" i="1" s="1"/>
  <c r="BA130" i="1" s="1"/>
  <c r="AS129" i="1"/>
  <c r="AU129" i="1" s="1"/>
  <c r="AV129" i="1" s="1"/>
  <c r="BA129" i="1" s="1"/>
  <c r="BB129" i="1" s="1"/>
  <c r="AS151" i="1"/>
  <c r="AU151" i="1" s="1"/>
  <c r="AV151" i="1" s="1"/>
  <c r="BA151" i="1" s="1"/>
  <c r="BB151" i="1" s="1"/>
  <c r="AS152" i="1"/>
  <c r="AU152" i="1" s="1"/>
  <c r="AV152" i="1" s="1"/>
  <c r="BA152" i="1" s="1"/>
  <c r="BB152" i="1" s="1"/>
  <c r="AS123" i="1"/>
  <c r="AU123" i="1" s="1"/>
  <c r="AV123" i="1" s="1"/>
  <c r="BA123" i="1" s="1"/>
  <c r="BB123" i="1" s="1"/>
  <c r="AS144" i="1"/>
  <c r="AU144" i="1" s="1"/>
  <c r="AV144" i="1" s="1"/>
  <c r="BA144" i="1" s="1"/>
  <c r="BB144" i="1" s="1"/>
  <c r="AS143" i="1"/>
  <c r="AU143" i="1" s="1"/>
  <c r="AV143" i="1" s="1"/>
  <c r="BA143" i="1" s="1"/>
  <c r="BB143" i="1" s="1"/>
  <c r="AS132" i="1"/>
  <c r="AU132" i="1" s="1"/>
  <c r="AV132" i="1" s="1"/>
  <c r="BA132" i="1" s="1"/>
  <c r="AS147" i="1"/>
  <c r="AU147" i="1" s="1"/>
  <c r="AV147" i="1" s="1"/>
  <c r="BA147" i="1" s="1"/>
  <c r="BB147" i="1" s="1"/>
  <c r="AS145" i="1"/>
  <c r="AU145" i="1" s="1"/>
  <c r="AV145" i="1" s="1"/>
  <c r="BA145" i="1" s="1"/>
  <c r="BB145" i="1" s="1"/>
  <c r="AS134" i="1"/>
  <c r="AU134" i="1" s="1"/>
  <c r="AV134" i="1" s="1"/>
  <c r="BA134" i="1" s="1"/>
  <c r="BB134" i="1" s="1"/>
  <c r="AS149" i="1"/>
  <c r="AU149" i="1" s="1"/>
  <c r="AV149" i="1" s="1"/>
  <c r="BA149" i="1" s="1"/>
  <c r="BB149" i="1" s="1"/>
  <c r="Y49" i="1"/>
  <c r="AA49" i="1" s="1"/>
  <c r="AB49" i="1" s="1"/>
  <c r="AG49" i="1" s="1"/>
  <c r="Y94" i="1"/>
  <c r="AA94" i="1" s="1"/>
  <c r="AB94" i="1" s="1"/>
  <c r="AG94" i="1" s="1"/>
  <c r="Y63" i="1"/>
  <c r="AA63" i="1" s="1"/>
  <c r="AB63" i="1" s="1"/>
  <c r="AG63" i="1" s="1"/>
  <c r="Y46" i="1"/>
  <c r="AA46" i="1" s="1"/>
  <c r="AB46" i="1" s="1"/>
  <c r="AG46" i="1" s="1"/>
  <c r="Y55" i="1"/>
  <c r="AA55" i="1" s="1"/>
  <c r="AB55" i="1" s="1"/>
  <c r="AG55" i="1" s="1"/>
  <c r="Y39" i="1"/>
  <c r="AA39" i="1" s="1"/>
  <c r="AB39" i="1" s="1"/>
  <c r="AG39" i="1" s="1"/>
  <c r="Y9" i="1"/>
  <c r="AA9" i="1" s="1"/>
  <c r="AB9" i="1" s="1"/>
  <c r="AG9" i="1" s="1"/>
  <c r="Y17" i="1"/>
  <c r="AA17" i="1" s="1"/>
  <c r="AB17" i="1" s="1"/>
  <c r="AG17" i="1" s="1"/>
  <c r="Y4" i="1"/>
  <c r="AA4" i="1" s="1"/>
  <c r="AB4" i="1" s="1"/>
  <c r="AG4" i="1" s="1"/>
  <c r="Y23" i="1"/>
  <c r="AA23" i="1" s="1"/>
  <c r="AB23" i="1" s="1"/>
  <c r="AG23" i="1" s="1"/>
  <c r="Y54" i="1"/>
  <c r="AA54" i="1" s="1"/>
  <c r="AB54" i="1" s="1"/>
  <c r="AG54" i="1" s="1"/>
  <c r="Y95" i="1"/>
  <c r="AA95" i="1" s="1"/>
  <c r="AB95" i="1" s="1"/>
  <c r="AG95" i="1" s="1"/>
  <c r="Y56" i="1"/>
  <c r="AA56" i="1" s="1"/>
  <c r="AB56" i="1" s="1"/>
  <c r="AG56" i="1" s="1"/>
  <c r="Y42" i="1"/>
  <c r="AA42" i="1" s="1"/>
  <c r="AB42" i="1" s="1"/>
  <c r="AG42" i="1" s="1"/>
  <c r="Y30" i="1"/>
  <c r="AA30" i="1" s="1"/>
  <c r="AB30" i="1" s="1"/>
  <c r="AG30" i="1" s="1"/>
  <c r="Y18" i="1"/>
  <c r="AA18" i="1" s="1"/>
  <c r="AB18" i="1" s="1"/>
  <c r="AG18" i="1" s="1"/>
  <c r="Y97" i="1"/>
  <c r="AA97" i="1" s="1"/>
  <c r="AB97" i="1" s="1"/>
  <c r="AG97" i="1" s="1"/>
  <c r="Y106" i="1"/>
  <c r="AA106" i="1" s="1"/>
  <c r="AB106" i="1" s="1"/>
  <c r="AG106" i="1" s="1"/>
  <c r="Y57" i="1"/>
  <c r="AA57" i="1" s="1"/>
  <c r="AB57" i="1" s="1"/>
  <c r="AG57" i="1" s="1"/>
  <c r="Y48" i="1"/>
  <c r="AA48" i="1" s="1"/>
  <c r="AB48" i="1" s="1"/>
  <c r="AG48" i="1" s="1"/>
  <c r="Y31" i="1"/>
  <c r="AA31" i="1" s="1"/>
  <c r="AB31" i="1" s="1"/>
  <c r="AG31" i="1" s="1"/>
  <c r="Y19" i="1"/>
  <c r="AA19" i="1" s="1"/>
  <c r="AB19" i="1" s="1"/>
  <c r="AG19" i="1" s="1"/>
  <c r="Y50" i="1"/>
  <c r="AA50" i="1" s="1"/>
  <c r="AB50" i="1" s="1"/>
  <c r="AG50" i="1" s="1"/>
  <c r="Y90" i="1"/>
  <c r="AA90" i="1" s="1"/>
  <c r="AB90" i="1" s="1"/>
  <c r="AG90" i="1" s="1"/>
  <c r="Y51" i="1"/>
  <c r="AA51" i="1" s="1"/>
  <c r="AB51" i="1" s="1"/>
  <c r="AG51" i="1" s="1"/>
  <c r="Y45" i="1"/>
  <c r="AA45" i="1" s="1"/>
  <c r="AB45" i="1" s="1"/>
  <c r="AG45" i="1" s="1"/>
  <c r="Y92" i="1"/>
  <c r="AA92" i="1" s="1"/>
  <c r="AB92" i="1" s="1"/>
  <c r="AG92" i="1" s="1"/>
  <c r="Y53" i="1"/>
  <c r="AA53" i="1" s="1"/>
  <c r="AB53" i="1" s="1"/>
  <c r="AG53" i="1" s="1"/>
  <c r="Y93" i="1"/>
  <c r="AA93" i="1" s="1"/>
  <c r="AB93" i="1" s="1"/>
  <c r="AG93" i="1" s="1"/>
  <c r="Y113" i="1"/>
  <c r="Y91" i="1"/>
  <c r="AA91" i="1" s="1"/>
  <c r="AB91" i="1" s="1"/>
  <c r="AG91" i="1" s="1"/>
  <c r="Y52" i="1"/>
  <c r="AA52" i="1" s="1"/>
  <c r="AB52" i="1" s="1"/>
  <c r="AG52" i="1" s="1"/>
  <c r="Y22" i="1"/>
  <c r="AA22" i="1" s="1"/>
  <c r="AB22" i="1" s="1"/>
  <c r="AG22" i="1" s="1"/>
  <c r="Y89" i="1"/>
  <c r="AA89" i="1" s="1"/>
  <c r="AB89" i="1" s="1"/>
  <c r="AG89" i="1" s="1"/>
  <c r="Y101" i="1"/>
  <c r="AA101" i="1" s="1"/>
  <c r="AB101" i="1" s="1"/>
  <c r="AG101" i="1" s="1"/>
  <c r="AS101" i="1"/>
  <c r="AU101" i="1" s="1"/>
  <c r="AV101" i="1" s="1"/>
  <c r="BA101" i="1" s="1"/>
  <c r="BB101" i="1" s="1"/>
  <c r="AS55" i="1"/>
  <c r="AU55" i="1" s="1"/>
  <c r="AV55" i="1" s="1"/>
  <c r="BA55" i="1" s="1"/>
  <c r="BB55" i="1" s="1"/>
  <c r="AS93" i="1"/>
  <c r="AU93" i="1" s="1"/>
  <c r="AV93" i="1" s="1"/>
  <c r="BA93" i="1" s="1"/>
  <c r="BB93" i="1" s="1"/>
  <c r="AS51" i="1"/>
  <c r="AU51" i="1" s="1"/>
  <c r="AV51" i="1" s="1"/>
  <c r="BA51" i="1" s="1"/>
  <c r="BB51" i="1" s="1"/>
  <c r="AS56" i="1"/>
  <c r="AU56" i="1" s="1"/>
  <c r="AV56" i="1" s="1"/>
  <c r="BA56" i="1" s="1"/>
  <c r="BB56" i="1" s="1"/>
  <c r="AS113" i="1"/>
  <c r="AU113" i="1" s="1"/>
  <c r="AV113" i="1" s="1"/>
  <c r="BA113" i="1" s="1"/>
  <c r="BB113" i="1" s="1"/>
  <c r="AS48" i="1"/>
  <c r="AU48" i="1" s="1"/>
  <c r="AV48" i="1" s="1"/>
  <c r="BA48" i="1" s="1"/>
  <c r="BB48" i="1" s="1"/>
  <c r="AS57" i="1"/>
  <c r="AU57" i="1" s="1"/>
  <c r="AV57" i="1" s="1"/>
  <c r="BA57" i="1" s="1"/>
  <c r="BB57" i="1" s="1"/>
  <c r="AS18" i="1"/>
  <c r="AU18" i="1" s="1"/>
  <c r="AV18" i="1" s="1"/>
  <c r="BA18" i="1" s="1"/>
  <c r="BB18" i="1" s="1"/>
  <c r="AS46" i="1"/>
  <c r="AU46" i="1" s="1"/>
  <c r="AV46" i="1" s="1"/>
  <c r="BA46" i="1" s="1"/>
  <c r="BB46" i="1" s="1"/>
  <c r="AS91" i="1"/>
  <c r="AU91" i="1" s="1"/>
  <c r="AV91" i="1" s="1"/>
  <c r="BA91" i="1" s="1"/>
  <c r="BB91" i="1" s="1"/>
  <c r="AS31" i="1"/>
  <c r="AU31" i="1" s="1"/>
  <c r="AV31" i="1" s="1"/>
  <c r="BA31" i="1" s="1"/>
  <c r="BB31" i="1" s="1"/>
  <c r="AS9" i="1"/>
  <c r="AU9" i="1" s="1"/>
  <c r="AV9" i="1" s="1"/>
  <c r="BA9" i="1" s="1"/>
  <c r="BB9" i="1" s="1"/>
  <c r="AS90" i="1"/>
  <c r="AU90" i="1" s="1"/>
  <c r="AV90" i="1" s="1"/>
  <c r="BA90" i="1" s="1"/>
  <c r="BB90" i="1" s="1"/>
  <c r="AS106" i="1"/>
  <c r="AU106" i="1" s="1"/>
  <c r="AV106" i="1" s="1"/>
  <c r="BA106" i="1" s="1"/>
  <c r="BB106" i="1" s="1"/>
  <c r="AS92" i="1"/>
  <c r="AU92" i="1" s="1"/>
  <c r="AV92" i="1" s="1"/>
  <c r="BA92" i="1" s="1"/>
  <c r="BB92" i="1" s="1"/>
  <c r="AS4" i="1"/>
  <c r="AU4" i="1" s="1"/>
  <c r="AV4" i="1" s="1"/>
  <c r="BA4" i="1" s="1"/>
  <c r="BB4" i="1" s="1"/>
  <c r="AS42" i="1"/>
  <c r="AU42" i="1" s="1"/>
  <c r="AV42" i="1" s="1"/>
  <c r="BA42" i="1" s="1"/>
  <c r="BB42" i="1" s="1"/>
  <c r="AS16" i="1"/>
  <c r="AU16" i="1" s="1"/>
  <c r="AV16" i="1" s="1"/>
  <c r="BA16" i="1" s="1"/>
  <c r="BB16" i="1" s="1"/>
  <c r="AS23" i="1"/>
  <c r="AU23" i="1" s="1"/>
  <c r="AV23" i="1" s="1"/>
  <c r="BA23" i="1" s="1"/>
  <c r="BB23" i="1" s="1"/>
  <c r="AS95" i="1"/>
  <c r="AU95" i="1" s="1"/>
  <c r="AV95" i="1" s="1"/>
  <c r="BA95" i="1" s="1"/>
  <c r="BB95" i="1" s="1"/>
  <c r="Y16" i="1"/>
  <c r="AA16" i="1" s="1"/>
  <c r="AB16" i="1" s="1"/>
  <c r="AG16" i="1" s="1"/>
  <c r="AS19" i="1"/>
  <c r="AU19" i="1" s="1"/>
  <c r="AV19" i="1" s="1"/>
  <c r="BA19" i="1" s="1"/>
  <c r="BB19" i="1" s="1"/>
  <c r="AS97" i="1"/>
  <c r="AU97" i="1" s="1"/>
  <c r="AV97" i="1" s="1"/>
  <c r="BA97" i="1" s="1"/>
  <c r="BB97" i="1" s="1"/>
  <c r="AS30" i="1"/>
  <c r="AU30" i="1" s="1"/>
  <c r="AV30" i="1" s="1"/>
  <c r="BA30" i="1" s="1"/>
  <c r="BB30" i="1" s="1"/>
  <c r="AS54" i="1"/>
  <c r="AU54" i="1" s="1"/>
  <c r="AV54" i="1" s="1"/>
  <c r="BA54" i="1" s="1"/>
  <c r="BB54" i="1" s="1"/>
  <c r="AS52" i="1"/>
  <c r="AU52" i="1" s="1"/>
  <c r="AV52" i="1" s="1"/>
  <c r="BA52" i="1" s="1"/>
  <c r="BB52" i="1" s="1"/>
  <c r="AS22" i="1"/>
  <c r="AU22" i="1" s="1"/>
  <c r="AV22" i="1" s="1"/>
  <c r="BA22" i="1" s="1"/>
  <c r="BB22" i="1" s="1"/>
  <c r="AS45" i="1"/>
  <c r="AU45" i="1" s="1"/>
  <c r="AV45" i="1" s="1"/>
  <c r="BA45" i="1" s="1"/>
  <c r="BB45" i="1" s="1"/>
  <c r="AS53" i="1"/>
  <c r="AU53" i="1" s="1"/>
  <c r="AV53" i="1" s="1"/>
  <c r="BA53" i="1" s="1"/>
  <c r="BB53" i="1" s="1"/>
  <c r="AS63" i="1"/>
  <c r="AU63" i="1" s="1"/>
  <c r="AV63" i="1" s="1"/>
  <c r="BA63" i="1" s="1"/>
  <c r="BB63" i="1" s="1"/>
  <c r="AS39" i="1"/>
  <c r="AU39" i="1" s="1"/>
  <c r="AV39" i="1" s="1"/>
  <c r="BA39" i="1" s="1"/>
  <c r="BB39" i="1" s="1"/>
  <c r="AS94" i="1"/>
  <c r="AU94" i="1" s="1"/>
  <c r="AV94" i="1" s="1"/>
  <c r="BA94" i="1" s="1"/>
  <c r="BB94" i="1" s="1"/>
  <c r="AS50" i="1"/>
  <c r="AU50" i="1" s="1"/>
  <c r="AV50" i="1" s="1"/>
  <c r="BA50" i="1" s="1"/>
  <c r="BB50" i="1" s="1"/>
  <c r="AS17" i="1"/>
  <c r="AU17" i="1" s="1"/>
  <c r="AV17" i="1" s="1"/>
  <c r="BA17" i="1" s="1"/>
  <c r="BB17" i="1" s="1"/>
  <c r="AS89" i="1"/>
  <c r="AU89" i="1" s="1"/>
  <c r="AV89" i="1" s="1"/>
  <c r="BA89" i="1" s="1"/>
  <c r="BB89" i="1" s="1"/>
  <c r="AS49" i="1"/>
  <c r="AU49" i="1" s="1"/>
  <c r="AV49" i="1" s="1"/>
  <c r="BA49" i="1" s="1"/>
  <c r="BB49" i="1" s="1"/>
  <c r="K7" i="14"/>
  <c r="K9" i="14" s="1"/>
  <c r="J34" i="14" s="1"/>
  <c r="J12" i="25"/>
  <c r="J13" i="25"/>
  <c r="J14" i="25"/>
  <c r="J15" i="25"/>
  <c r="J16" i="25"/>
  <c r="I3" i="13"/>
  <c r="K19" i="14"/>
  <c r="K21" i="14" s="1"/>
  <c r="M11" i="42" l="1"/>
  <c r="T11" i="42"/>
  <c r="E54" i="42"/>
  <c r="S11" i="42"/>
  <c r="K11" i="42"/>
  <c r="D54" i="42"/>
  <c r="R11" i="42"/>
  <c r="J11" i="42"/>
  <c r="I11" i="42"/>
  <c r="H11" i="42"/>
  <c r="L11" i="42"/>
  <c r="Q11" i="42"/>
  <c r="P11" i="42"/>
  <c r="O11" i="42"/>
  <c r="N11" i="42"/>
  <c r="BB130" i="1"/>
  <c r="BB60" i="1"/>
  <c r="BB78" i="1"/>
  <c r="BB137" i="1"/>
  <c r="BB132" i="1"/>
  <c r="BB75" i="1"/>
  <c r="BB59" i="1"/>
  <c r="BB79" i="1"/>
  <c r="BB127" i="1"/>
  <c r="BB64" i="1"/>
  <c r="BB62" i="1"/>
  <c r="BB140" i="1"/>
  <c r="AH81" i="1"/>
  <c r="AL81" i="1" s="1"/>
  <c r="BG81" i="1"/>
  <c r="AH141" i="1"/>
  <c r="AL141" i="1" s="1"/>
  <c r="BG141" i="1"/>
  <c r="AH142" i="1"/>
  <c r="AL142" i="1" s="1"/>
  <c r="BG142" i="1"/>
  <c r="AH74" i="1"/>
  <c r="AL74" i="1" s="1"/>
  <c r="BG74" i="1"/>
  <c r="AH140" i="1"/>
  <c r="AL140" i="1" s="1"/>
  <c r="BG140" i="1"/>
  <c r="AH128" i="1"/>
  <c r="AL128" i="1" s="1"/>
  <c r="BG128" i="1"/>
  <c r="AH127" i="1"/>
  <c r="AL127" i="1" s="1"/>
  <c r="BG127" i="1"/>
  <c r="AH126" i="1"/>
  <c r="AL126" i="1" s="1"/>
  <c r="BG126" i="1"/>
  <c r="E27" i="42" a="1"/>
  <c r="E27" i="42" s="1"/>
  <c r="M41" i="15"/>
  <c r="L41" i="15"/>
  <c r="K41" i="15"/>
  <c r="P41" i="15"/>
  <c r="R41" i="15"/>
  <c r="Q41" i="15"/>
  <c r="N17" i="58"/>
  <c r="M17" i="58"/>
  <c r="L17" i="58"/>
  <c r="J3" i="58"/>
  <c r="I3" i="58"/>
  <c r="H3" i="58"/>
  <c r="N3" i="58"/>
  <c r="M3" i="58"/>
  <c r="L3" i="58"/>
  <c r="N23" i="58"/>
  <c r="M23" i="58"/>
  <c r="L23" i="58"/>
  <c r="L18" i="58"/>
  <c r="M18" i="58"/>
  <c r="N18" i="58"/>
  <c r="I19" i="58"/>
  <c r="J19" i="58"/>
  <c r="H19" i="58"/>
  <c r="L14" i="58"/>
  <c r="M14" i="58"/>
  <c r="N14" i="58"/>
  <c r="L26" i="58"/>
  <c r="M26" i="58"/>
  <c r="N26" i="58"/>
  <c r="J16" i="58"/>
  <c r="I16" i="58"/>
  <c r="H16" i="58"/>
  <c r="N6" i="58"/>
  <c r="M6" i="58"/>
  <c r="L6" i="58"/>
  <c r="M12" i="58"/>
  <c r="N12" i="58"/>
  <c r="L12" i="58"/>
  <c r="N9" i="58"/>
  <c r="M9" i="58"/>
  <c r="L9" i="58"/>
  <c r="H18" i="58"/>
  <c r="O18" i="58" s="1"/>
  <c r="J18" i="58"/>
  <c r="I18" i="58"/>
  <c r="L7" i="58"/>
  <c r="M7" i="58"/>
  <c r="N7" i="58"/>
  <c r="M5" i="58"/>
  <c r="N5" i="58"/>
  <c r="L5" i="58"/>
  <c r="L15" i="58"/>
  <c r="M15" i="58"/>
  <c r="N15" i="58"/>
  <c r="L8" i="58"/>
  <c r="M8" i="58"/>
  <c r="N8" i="58"/>
  <c r="H25" i="58"/>
  <c r="J25" i="58"/>
  <c r="I25" i="58"/>
  <c r="I15" i="58"/>
  <c r="H15" i="58"/>
  <c r="J15" i="58"/>
  <c r="N11" i="58"/>
  <c r="M11" i="58"/>
  <c r="L11" i="58"/>
  <c r="N20" i="58"/>
  <c r="L20" i="58"/>
  <c r="M20" i="58"/>
  <c r="M21" i="58"/>
  <c r="N21" i="58"/>
  <c r="L21" i="58"/>
  <c r="L25" i="58"/>
  <c r="M25" i="58"/>
  <c r="N25" i="58"/>
  <c r="J23" i="58"/>
  <c r="I23" i="58"/>
  <c r="H23" i="58"/>
  <c r="J6" i="58"/>
  <c r="I6" i="58"/>
  <c r="H6" i="58"/>
  <c r="I12" i="58"/>
  <c r="J12" i="58"/>
  <c r="H12" i="58"/>
  <c r="N16" i="58"/>
  <c r="M16" i="58"/>
  <c r="L16" i="58"/>
  <c r="L4" i="58"/>
  <c r="M4" i="58"/>
  <c r="N4" i="58"/>
  <c r="H20" i="58"/>
  <c r="I20" i="58"/>
  <c r="J20" i="58"/>
  <c r="J9" i="58"/>
  <c r="I9" i="58"/>
  <c r="H9" i="58"/>
  <c r="N22" i="58"/>
  <c r="M22" i="58"/>
  <c r="L22" i="58"/>
  <c r="L13" i="58"/>
  <c r="M13" i="58"/>
  <c r="N13" i="58"/>
  <c r="L24" i="58"/>
  <c r="M24" i="58"/>
  <c r="N24" i="58"/>
  <c r="L19" i="58"/>
  <c r="M19" i="58"/>
  <c r="N19" i="58"/>
  <c r="J14" i="58"/>
  <c r="H14" i="58"/>
  <c r="I14" i="58"/>
  <c r="H5" i="58"/>
  <c r="I5" i="58"/>
  <c r="P5" i="58" s="1"/>
  <c r="J5" i="58"/>
  <c r="J22" i="58"/>
  <c r="I22" i="58"/>
  <c r="H22" i="58"/>
  <c r="I26" i="58"/>
  <c r="H26" i="58"/>
  <c r="J26" i="58"/>
  <c r="AA79" i="1"/>
  <c r="AB79" i="1" s="1"/>
  <c r="AG79" i="1" s="1"/>
  <c r="E26" i="42" a="1"/>
  <c r="E26" i="42" s="1"/>
  <c r="AH20" i="1"/>
  <c r="AL20" i="1" s="1"/>
  <c r="BG20" i="1"/>
  <c r="AH65" i="1"/>
  <c r="AL65" i="1" s="1"/>
  <c r="BG65" i="1"/>
  <c r="AH66" i="1"/>
  <c r="AL66" i="1" s="1"/>
  <c r="BG66" i="1"/>
  <c r="AH71" i="1"/>
  <c r="AL71" i="1" s="1"/>
  <c r="BG71" i="1"/>
  <c r="AH6" i="1"/>
  <c r="AL6" i="1" s="1"/>
  <c r="BG6" i="1"/>
  <c r="AH100" i="1"/>
  <c r="AL100" i="1" s="1"/>
  <c r="BG100" i="1"/>
  <c r="AH105" i="1"/>
  <c r="AL105" i="1" s="1"/>
  <c r="BG105" i="1"/>
  <c r="AH72" i="1"/>
  <c r="AL72" i="1" s="1"/>
  <c r="BG72" i="1"/>
  <c r="AH153" i="1"/>
  <c r="AL153" i="1" s="1"/>
  <c r="BG153" i="1"/>
  <c r="AH83" i="1"/>
  <c r="AL83" i="1" s="1"/>
  <c r="BG83" i="1"/>
  <c r="AH135" i="1"/>
  <c r="AL135" i="1" s="1"/>
  <c r="BG135" i="1"/>
  <c r="AH32" i="1"/>
  <c r="AL32" i="1" s="1"/>
  <c r="BG32" i="1"/>
  <c r="AH29" i="1"/>
  <c r="AL29" i="1" s="1"/>
  <c r="BG29" i="1"/>
  <c r="AH21" i="1"/>
  <c r="AL21" i="1" s="1"/>
  <c r="BG21" i="1"/>
  <c r="AH37" i="1"/>
  <c r="AL37" i="1" s="1"/>
  <c r="BG37" i="1"/>
  <c r="AH102" i="1"/>
  <c r="AL102" i="1" s="1"/>
  <c r="BG102" i="1"/>
  <c r="AH36" i="1"/>
  <c r="AL36" i="1" s="1"/>
  <c r="BG36" i="1"/>
  <c r="AH75" i="1"/>
  <c r="AL75" i="1" s="1"/>
  <c r="BG75" i="1"/>
  <c r="AH88" i="1"/>
  <c r="AL88" i="1" s="1"/>
  <c r="BG88" i="1"/>
  <c r="AH114" i="1"/>
  <c r="AL114" i="1" s="1"/>
  <c r="BG114" i="1"/>
  <c r="AH15" i="1"/>
  <c r="AL15" i="1" s="1"/>
  <c r="BG15" i="1"/>
  <c r="AH10" i="1"/>
  <c r="AL10" i="1" s="1"/>
  <c r="BG10" i="1"/>
  <c r="AH115" i="1"/>
  <c r="AL115" i="1" s="1"/>
  <c r="BG115" i="1"/>
  <c r="AH110" i="1"/>
  <c r="AL110" i="1" s="1"/>
  <c r="BG110" i="1"/>
  <c r="AH60" i="1"/>
  <c r="AL60" i="1" s="1"/>
  <c r="BG60" i="1"/>
  <c r="AH35" i="1"/>
  <c r="AL35" i="1" s="1"/>
  <c r="BG35" i="1"/>
  <c r="AH78" i="1"/>
  <c r="AL78" i="1" s="1"/>
  <c r="BG78" i="1"/>
  <c r="AH82" i="1"/>
  <c r="AL82" i="1" s="1"/>
  <c r="BG82" i="1"/>
  <c r="AH25" i="1"/>
  <c r="AL25" i="1" s="1"/>
  <c r="BG25" i="1"/>
  <c r="AH131" i="1"/>
  <c r="AL131" i="1" s="1"/>
  <c r="BG131" i="1"/>
  <c r="AH124" i="1"/>
  <c r="AL124" i="1" s="1"/>
  <c r="BG124" i="1"/>
  <c r="AH44" i="1"/>
  <c r="AL44" i="1" s="1"/>
  <c r="BG44" i="1"/>
  <c r="AH28" i="1"/>
  <c r="AL28" i="1" s="1"/>
  <c r="BG28" i="1"/>
  <c r="AH86" i="1"/>
  <c r="AL86" i="1" s="1"/>
  <c r="BG86" i="1"/>
  <c r="AH34" i="1"/>
  <c r="AL34" i="1" s="1"/>
  <c r="BG34" i="1"/>
  <c r="AH41" i="1"/>
  <c r="AL41" i="1" s="1"/>
  <c r="BG41" i="1"/>
  <c r="AH61" i="1"/>
  <c r="AL61" i="1" s="1"/>
  <c r="BG61" i="1"/>
  <c r="AH99" i="1"/>
  <c r="AL99" i="1" s="1"/>
  <c r="BG99" i="1"/>
  <c r="AH38" i="1"/>
  <c r="AL38" i="1" s="1"/>
  <c r="BG38" i="1"/>
  <c r="AH96" i="1"/>
  <c r="AL96" i="1" s="1"/>
  <c r="BG96" i="1"/>
  <c r="AH138" i="1"/>
  <c r="AL138" i="1" s="1"/>
  <c r="BG138" i="1"/>
  <c r="AH47" i="1"/>
  <c r="AL47" i="1" s="1"/>
  <c r="BG47" i="1"/>
  <c r="AH84" i="1"/>
  <c r="AL84" i="1" s="1"/>
  <c r="BG84" i="1"/>
  <c r="AH62" i="1"/>
  <c r="AL62" i="1" s="1"/>
  <c r="BG62" i="1"/>
  <c r="AH109" i="1"/>
  <c r="AL109" i="1" s="1"/>
  <c r="BG109" i="1"/>
  <c r="AH68" i="1"/>
  <c r="AL68" i="1" s="1"/>
  <c r="BG68" i="1"/>
  <c r="AH98" i="1"/>
  <c r="AL98" i="1" s="1"/>
  <c r="BG98" i="1"/>
  <c r="AH156" i="1"/>
  <c r="AL156" i="1" s="1"/>
  <c r="BG156" i="1"/>
  <c r="AH14" i="1"/>
  <c r="AL14" i="1" s="1"/>
  <c r="BG14" i="1"/>
  <c r="AH137" i="1"/>
  <c r="AL137" i="1" s="1"/>
  <c r="BG137" i="1"/>
  <c r="AH133" i="1"/>
  <c r="AL133" i="1" s="1"/>
  <c r="BG133" i="1"/>
  <c r="AH117" i="1"/>
  <c r="AL117" i="1" s="1"/>
  <c r="BG117" i="1"/>
  <c r="AH119" i="1"/>
  <c r="AL119" i="1" s="1"/>
  <c r="BG119" i="1"/>
  <c r="AH125" i="1"/>
  <c r="AL125" i="1" s="1"/>
  <c r="BG125" i="1"/>
  <c r="AH24" i="1"/>
  <c r="AL24" i="1" s="1"/>
  <c r="BG24" i="1"/>
  <c r="AH27" i="1"/>
  <c r="AL27" i="1" s="1"/>
  <c r="BG27" i="1"/>
  <c r="AH111" i="1"/>
  <c r="AL111" i="1" s="1"/>
  <c r="BG111" i="1"/>
  <c r="AH69" i="1"/>
  <c r="AL69" i="1" s="1"/>
  <c r="BG69" i="1"/>
  <c r="AH112" i="1"/>
  <c r="AL112" i="1" s="1"/>
  <c r="BG112" i="1"/>
  <c r="AH108" i="1"/>
  <c r="AL108" i="1" s="1"/>
  <c r="BG108" i="1"/>
  <c r="AH59" i="1"/>
  <c r="AL59" i="1" s="1"/>
  <c r="BG59" i="1"/>
  <c r="AH103" i="1"/>
  <c r="AL103" i="1" s="1"/>
  <c r="BG103" i="1"/>
  <c r="AH85" i="1"/>
  <c r="AL85" i="1" s="1"/>
  <c r="BG85" i="1"/>
  <c r="AH87" i="1"/>
  <c r="AL87" i="1" s="1"/>
  <c r="BG87" i="1"/>
  <c r="AH13" i="1"/>
  <c r="AL13" i="1" s="1"/>
  <c r="BG13" i="1"/>
  <c r="AH121" i="1"/>
  <c r="AL121" i="1" s="1"/>
  <c r="BG121" i="1"/>
  <c r="AH73" i="1"/>
  <c r="AL73" i="1" s="1"/>
  <c r="BG73" i="1"/>
  <c r="AH40" i="1"/>
  <c r="AL40" i="1" s="1"/>
  <c r="BG40" i="1"/>
  <c r="AH70" i="1"/>
  <c r="AL70" i="1" s="1"/>
  <c r="BG70" i="1"/>
  <c r="AH5" i="1"/>
  <c r="AL5" i="1" s="1"/>
  <c r="BG5" i="1"/>
  <c r="AH77" i="1"/>
  <c r="AL77" i="1" s="1"/>
  <c r="BG77" i="1"/>
  <c r="AH64" i="1"/>
  <c r="BG64" i="1"/>
  <c r="AH8" i="1"/>
  <c r="AL8" i="1" s="1"/>
  <c r="BG8" i="1"/>
  <c r="AH155" i="1"/>
  <c r="AL155" i="1" s="1"/>
  <c r="BG155" i="1"/>
  <c r="AH80" i="1"/>
  <c r="AL80" i="1" s="1"/>
  <c r="BG80" i="1"/>
  <c r="AH26" i="1"/>
  <c r="AL26" i="1" s="1"/>
  <c r="BG26" i="1"/>
  <c r="AH12" i="1"/>
  <c r="AL12" i="1" s="1"/>
  <c r="BG12" i="1"/>
  <c r="AH136" i="1"/>
  <c r="AL136" i="1" s="1"/>
  <c r="BG136" i="1"/>
  <c r="AH116" i="1"/>
  <c r="AL116" i="1" s="1"/>
  <c r="BG116" i="1"/>
  <c r="AH118" i="1"/>
  <c r="AL118" i="1" s="1"/>
  <c r="BG118" i="1"/>
  <c r="AH120" i="1"/>
  <c r="AL120" i="1" s="1"/>
  <c r="BG120" i="1"/>
  <c r="AH43" i="1"/>
  <c r="AL43" i="1" s="1"/>
  <c r="BG43" i="1"/>
  <c r="AH58" i="1"/>
  <c r="AL58" i="1" s="1"/>
  <c r="BG58" i="1"/>
  <c r="AH7" i="1"/>
  <c r="AL7" i="1" s="1"/>
  <c r="BG7" i="1"/>
  <c r="AH33" i="1"/>
  <c r="AL33" i="1" s="1"/>
  <c r="BG33" i="1"/>
  <c r="AH104" i="1"/>
  <c r="AL104" i="1" s="1"/>
  <c r="BG104" i="1"/>
  <c r="AH76" i="1"/>
  <c r="AL76" i="1" s="1"/>
  <c r="BG76" i="1"/>
  <c r="AH67" i="1"/>
  <c r="AL67" i="1" s="1"/>
  <c r="BG67" i="1"/>
  <c r="AH107" i="1"/>
  <c r="AL107" i="1" s="1"/>
  <c r="BG107" i="1"/>
  <c r="AH154" i="1"/>
  <c r="AL154" i="1" s="1"/>
  <c r="BG154" i="1"/>
  <c r="AH11" i="1"/>
  <c r="AL11" i="1" s="1"/>
  <c r="BG11" i="1"/>
  <c r="AH139" i="1"/>
  <c r="AL139" i="1" s="1"/>
  <c r="BG139" i="1"/>
  <c r="AA113" i="1"/>
  <c r="AB113" i="1" s="1"/>
  <c r="AG113" i="1" s="1"/>
  <c r="BG113" i="1" s="1"/>
  <c r="E23" i="42" a="1"/>
  <c r="E23" i="42" s="1"/>
  <c r="P12" i="15"/>
  <c r="Q12" i="15"/>
  <c r="R12" i="15"/>
  <c r="L46" i="15"/>
  <c r="K46" i="15"/>
  <c r="M46" i="15"/>
  <c r="R7" i="15"/>
  <c r="Q7" i="15"/>
  <c r="P7" i="15"/>
  <c r="Q6" i="15"/>
  <c r="R6" i="15"/>
  <c r="P6" i="15"/>
  <c r="P28" i="15"/>
  <c r="Q28" i="15"/>
  <c r="R28" i="15"/>
  <c r="R30" i="15"/>
  <c r="Q30" i="15"/>
  <c r="P30" i="15"/>
  <c r="R46" i="15"/>
  <c r="Q46" i="15"/>
  <c r="P46" i="15"/>
  <c r="L38" i="15"/>
  <c r="K38" i="15"/>
  <c r="M38" i="15"/>
  <c r="M36" i="15"/>
  <c r="L36" i="15"/>
  <c r="K36" i="15"/>
  <c r="M15" i="15"/>
  <c r="K15" i="15"/>
  <c r="L15" i="15"/>
  <c r="M25" i="15"/>
  <c r="L25" i="15"/>
  <c r="K25" i="15"/>
  <c r="M8" i="15"/>
  <c r="L8" i="15"/>
  <c r="K8" i="15"/>
  <c r="P32" i="15"/>
  <c r="Q32" i="15"/>
  <c r="R32" i="15"/>
  <c r="R5" i="15"/>
  <c r="Q5" i="15"/>
  <c r="P5" i="15"/>
  <c r="R25" i="15"/>
  <c r="Q25" i="15"/>
  <c r="P25" i="15"/>
  <c r="P4" i="15"/>
  <c r="Q4" i="15"/>
  <c r="R4" i="15"/>
  <c r="L30" i="15"/>
  <c r="K30" i="15"/>
  <c r="M30" i="15"/>
  <c r="M28" i="15"/>
  <c r="L28" i="15"/>
  <c r="K28" i="15"/>
  <c r="L50" i="15"/>
  <c r="K50" i="15"/>
  <c r="M50" i="15"/>
  <c r="M17" i="15"/>
  <c r="L17" i="15"/>
  <c r="K17" i="15"/>
  <c r="P33" i="15"/>
  <c r="R33" i="15"/>
  <c r="Q33" i="15"/>
  <c r="R49" i="15"/>
  <c r="Q49" i="15"/>
  <c r="P49" i="15"/>
  <c r="P29" i="15"/>
  <c r="Q29" i="15"/>
  <c r="R29" i="15"/>
  <c r="R45" i="15"/>
  <c r="Q45" i="15"/>
  <c r="P45" i="15"/>
  <c r="R51" i="15"/>
  <c r="Q51" i="15"/>
  <c r="P51" i="15"/>
  <c r="L29" i="15"/>
  <c r="M29" i="15"/>
  <c r="K29" i="15"/>
  <c r="K23" i="15"/>
  <c r="M23" i="15"/>
  <c r="L23" i="15"/>
  <c r="R18" i="15"/>
  <c r="Q18" i="15"/>
  <c r="P18" i="15"/>
  <c r="Q22" i="15"/>
  <c r="R22" i="15"/>
  <c r="P22" i="15"/>
  <c r="R34" i="15"/>
  <c r="Q34" i="15"/>
  <c r="P34" i="15"/>
  <c r="P40" i="15"/>
  <c r="R40" i="15"/>
  <c r="Q40" i="15"/>
  <c r="L22" i="15"/>
  <c r="K22" i="15"/>
  <c r="M22" i="15"/>
  <c r="M20" i="15"/>
  <c r="L20" i="15"/>
  <c r="K20" i="15"/>
  <c r="L42" i="15"/>
  <c r="K42" i="15"/>
  <c r="M42" i="15"/>
  <c r="M9" i="15"/>
  <c r="K9" i="15"/>
  <c r="L9" i="15"/>
  <c r="P27" i="15"/>
  <c r="Q27" i="15"/>
  <c r="R27" i="15"/>
  <c r="R47" i="15"/>
  <c r="Q47" i="15"/>
  <c r="P47" i="15"/>
  <c r="K27" i="15"/>
  <c r="M27" i="15"/>
  <c r="L27" i="15"/>
  <c r="R31" i="15"/>
  <c r="Q31" i="15"/>
  <c r="P31" i="15"/>
  <c r="M47" i="15"/>
  <c r="L47" i="15"/>
  <c r="K47" i="15"/>
  <c r="M43" i="15"/>
  <c r="L43" i="15"/>
  <c r="K43" i="15"/>
  <c r="M33" i="15"/>
  <c r="K33" i="15"/>
  <c r="L33" i="15"/>
  <c r="R10" i="15"/>
  <c r="Q10" i="15"/>
  <c r="P10" i="15"/>
  <c r="P44" i="15"/>
  <c r="R44" i="15"/>
  <c r="Q44" i="15"/>
  <c r="R26" i="15"/>
  <c r="Q26" i="15"/>
  <c r="P26" i="15"/>
  <c r="L14" i="15"/>
  <c r="K14" i="15"/>
  <c r="M14" i="15"/>
  <c r="M12" i="15"/>
  <c r="L12" i="15"/>
  <c r="K12" i="15"/>
  <c r="L34" i="15"/>
  <c r="K34" i="15"/>
  <c r="M34" i="15"/>
  <c r="M48" i="15"/>
  <c r="L48" i="15"/>
  <c r="K48" i="15"/>
  <c r="R39" i="15"/>
  <c r="Q39" i="15"/>
  <c r="P39" i="15"/>
  <c r="P16" i="15"/>
  <c r="Q16" i="15"/>
  <c r="R16" i="15"/>
  <c r="M13" i="15"/>
  <c r="L13" i="15"/>
  <c r="K13" i="15"/>
  <c r="R21" i="15"/>
  <c r="Q21" i="15"/>
  <c r="P21" i="15"/>
  <c r="R13" i="15"/>
  <c r="Q13" i="15"/>
  <c r="P13" i="15"/>
  <c r="M31" i="15"/>
  <c r="K31" i="15"/>
  <c r="L31" i="15"/>
  <c r="M51" i="15"/>
  <c r="L51" i="15"/>
  <c r="K51" i="15"/>
  <c r="M37" i="15"/>
  <c r="K37" i="15"/>
  <c r="L37" i="15"/>
  <c r="K21" i="15"/>
  <c r="M21" i="15"/>
  <c r="L21" i="15"/>
  <c r="P20" i="15"/>
  <c r="Q20" i="15"/>
  <c r="R20" i="15"/>
  <c r="R17" i="15"/>
  <c r="Q17" i="15"/>
  <c r="P17" i="15"/>
  <c r="R38" i="15"/>
  <c r="Q38" i="15"/>
  <c r="P38" i="15"/>
  <c r="P24" i="15"/>
  <c r="Q24" i="15"/>
  <c r="R24" i="15"/>
  <c r="L6" i="15"/>
  <c r="K6" i="15"/>
  <c r="M6" i="15"/>
  <c r="M4" i="15"/>
  <c r="L4" i="15"/>
  <c r="K4" i="15"/>
  <c r="L26" i="15"/>
  <c r="K26" i="15"/>
  <c r="M26" i="15"/>
  <c r="M40" i="15"/>
  <c r="L40" i="15"/>
  <c r="K40" i="15"/>
  <c r="R11" i="15"/>
  <c r="Q11" i="15"/>
  <c r="P11" i="15"/>
  <c r="M44" i="15"/>
  <c r="L44" i="15"/>
  <c r="K44" i="15"/>
  <c r="R23" i="15"/>
  <c r="Q23" i="15"/>
  <c r="P23" i="15"/>
  <c r="M35" i="15"/>
  <c r="L35" i="15"/>
  <c r="K35" i="15"/>
  <c r="R37" i="15"/>
  <c r="Q37" i="15"/>
  <c r="P37" i="15"/>
  <c r="Q14" i="15"/>
  <c r="R14" i="15"/>
  <c r="P14" i="15"/>
  <c r="R19" i="15"/>
  <c r="Q19" i="15"/>
  <c r="P19" i="15"/>
  <c r="R15" i="15"/>
  <c r="Q15" i="15"/>
  <c r="P15" i="15"/>
  <c r="P48" i="15"/>
  <c r="R48" i="15"/>
  <c r="Q48" i="15"/>
  <c r="K7" i="15"/>
  <c r="M7" i="15"/>
  <c r="L7" i="15"/>
  <c r="M19" i="15"/>
  <c r="K19" i="15"/>
  <c r="L19" i="15"/>
  <c r="L18" i="15"/>
  <c r="K18" i="15"/>
  <c r="M18" i="15"/>
  <c r="M32" i="15"/>
  <c r="L32" i="15"/>
  <c r="K32" i="15"/>
  <c r="R42" i="15"/>
  <c r="Q42" i="15"/>
  <c r="P42" i="15"/>
  <c r="M16" i="15"/>
  <c r="L16" i="15"/>
  <c r="K16" i="15"/>
  <c r="P35" i="15"/>
  <c r="Q35" i="15"/>
  <c r="R35" i="15"/>
  <c r="M49" i="15"/>
  <c r="L49" i="15"/>
  <c r="K49" i="15"/>
  <c r="R43" i="15"/>
  <c r="P43" i="15"/>
  <c r="Q43" i="15"/>
  <c r="M45" i="15"/>
  <c r="L45" i="15"/>
  <c r="K45" i="15"/>
  <c r="K39" i="15"/>
  <c r="M39" i="15"/>
  <c r="L39" i="15"/>
  <c r="R9" i="15"/>
  <c r="Q9" i="15"/>
  <c r="P9" i="15"/>
  <c r="P36" i="15"/>
  <c r="R36" i="15"/>
  <c r="Q36" i="15"/>
  <c r="P8" i="15"/>
  <c r="R8" i="15"/>
  <c r="Q8" i="15"/>
  <c r="R50" i="15"/>
  <c r="Q50" i="15"/>
  <c r="P50" i="15"/>
  <c r="M5" i="15"/>
  <c r="L5" i="15"/>
  <c r="K5" i="15"/>
  <c r="M11" i="15"/>
  <c r="K11" i="15"/>
  <c r="L11" i="15"/>
  <c r="L10" i="15"/>
  <c r="K10" i="15"/>
  <c r="M10" i="15"/>
  <c r="M24" i="15"/>
  <c r="L24" i="15"/>
  <c r="K24" i="15"/>
  <c r="AV157" i="1"/>
  <c r="E28" i="42" a="1"/>
  <c r="E28" i="42" s="1"/>
  <c r="E20" i="42" a="1"/>
  <c r="E20" i="42" s="1"/>
  <c r="E25" i="42" a="1"/>
  <c r="E25" i="42" s="1"/>
  <c r="E22" i="42" a="1"/>
  <c r="E22" i="42" s="1"/>
  <c r="E21" i="42" a="1"/>
  <c r="E21" i="42" s="1"/>
  <c r="E24" i="42" a="1"/>
  <c r="E24" i="42" s="1"/>
  <c r="AI156" i="1"/>
  <c r="AI144" i="1"/>
  <c r="AI145" i="1"/>
  <c r="AI131" i="1"/>
  <c r="AI139" i="1"/>
  <c r="AI124" i="1"/>
  <c r="AI146" i="1"/>
  <c r="AI132" i="1"/>
  <c r="AI140" i="1"/>
  <c r="AI125" i="1"/>
  <c r="AI133" i="1"/>
  <c r="AI126" i="1"/>
  <c r="AI128" i="1"/>
  <c r="AI123" i="1"/>
  <c r="AI147" i="1"/>
  <c r="AI141" i="1"/>
  <c r="AI152" i="1"/>
  <c r="AI148" i="1"/>
  <c r="AI134" i="1"/>
  <c r="AI142" i="1"/>
  <c r="AI127" i="1"/>
  <c r="AI153" i="1"/>
  <c r="AI149" i="1"/>
  <c r="AI135" i="1"/>
  <c r="AI154" i="1"/>
  <c r="AI150" i="1"/>
  <c r="AI136" i="1"/>
  <c r="AI120" i="1"/>
  <c r="AI122" i="1"/>
  <c r="AI121" i="1"/>
  <c r="AI130" i="1"/>
  <c r="AI138" i="1"/>
  <c r="AI155" i="1"/>
  <c r="AI143" i="1"/>
  <c r="AI151" i="1"/>
  <c r="AI129" i="1"/>
  <c r="AI137" i="1"/>
  <c r="AI118" i="1"/>
  <c r="AI107" i="1"/>
  <c r="AI95" i="1"/>
  <c r="AI82" i="1"/>
  <c r="AI67" i="1"/>
  <c r="AI61" i="1"/>
  <c r="AI51" i="1"/>
  <c r="AI42" i="1"/>
  <c r="AI40" i="1"/>
  <c r="AI26" i="1"/>
  <c r="AI34" i="1"/>
  <c r="AI24" i="1"/>
  <c r="AI10" i="1"/>
  <c r="AI13" i="1"/>
  <c r="AI6" i="1"/>
  <c r="AI38" i="1"/>
  <c r="AI9" i="1"/>
  <c r="AI119" i="1"/>
  <c r="AI114" i="1"/>
  <c r="AI113" i="1"/>
  <c r="AI108" i="1"/>
  <c r="AI96" i="1"/>
  <c r="AI83" i="1"/>
  <c r="AI75" i="1"/>
  <c r="AI74" i="1"/>
  <c r="AI71" i="1"/>
  <c r="AI68" i="1"/>
  <c r="AI62" i="1"/>
  <c r="AI52" i="1"/>
  <c r="AI43" i="1"/>
  <c r="AI27" i="1"/>
  <c r="AI11" i="1"/>
  <c r="AI15" i="1"/>
  <c r="AI7" i="1"/>
  <c r="AI60" i="1"/>
  <c r="AI25" i="1"/>
  <c r="AI33" i="1"/>
  <c r="AI23" i="1"/>
  <c r="AI115" i="1"/>
  <c r="AI109" i="1"/>
  <c r="AI89" i="1"/>
  <c r="AI84" i="1"/>
  <c r="AI76" i="1"/>
  <c r="AI72" i="1"/>
  <c r="AI69" i="1"/>
  <c r="AI63" i="1"/>
  <c r="AI53" i="1"/>
  <c r="AI44" i="1"/>
  <c r="AI28" i="1"/>
  <c r="AI18" i="1"/>
  <c r="AI14" i="1"/>
  <c r="AI12" i="1"/>
  <c r="AI5" i="1"/>
  <c r="AI4" i="1"/>
  <c r="AI45" i="1"/>
  <c r="AI29" i="1"/>
  <c r="AI19" i="1"/>
  <c r="AI117" i="1"/>
  <c r="AI106" i="1"/>
  <c r="AI101" i="1"/>
  <c r="AI50" i="1"/>
  <c r="AI41" i="1"/>
  <c r="AI39" i="1"/>
  <c r="AI112" i="1"/>
  <c r="AI110" i="1"/>
  <c r="AI103" i="1"/>
  <c r="AI97" i="1"/>
  <c r="AI90" i="1"/>
  <c r="AI85" i="1"/>
  <c r="AI77" i="1"/>
  <c r="AI73" i="1"/>
  <c r="AI70" i="1"/>
  <c r="AI46" i="1"/>
  <c r="AI54" i="1"/>
  <c r="AI111" i="1"/>
  <c r="AI98" i="1"/>
  <c r="AI91" i="1"/>
  <c r="AI78" i="1"/>
  <c r="AI86" i="1"/>
  <c r="AI57" i="1"/>
  <c r="AI47" i="1"/>
  <c r="AI55" i="1"/>
  <c r="AI35" i="1"/>
  <c r="AI30" i="1"/>
  <c r="AI20" i="1"/>
  <c r="AI16" i="1"/>
  <c r="AI94" i="1"/>
  <c r="AI66" i="1"/>
  <c r="AI104" i="1"/>
  <c r="AI99" i="1"/>
  <c r="AI92" i="1"/>
  <c r="AI79" i="1"/>
  <c r="AI87" i="1"/>
  <c r="AI64" i="1"/>
  <c r="AI58" i="1"/>
  <c r="AI48" i="1"/>
  <c r="AI56" i="1"/>
  <c r="AI36" i="1"/>
  <c r="AI31" i="1"/>
  <c r="AI21" i="1"/>
  <c r="AI17" i="1"/>
  <c r="AI116" i="1"/>
  <c r="AI105" i="1"/>
  <c r="AI102" i="1"/>
  <c r="AI100" i="1"/>
  <c r="AI93" i="1"/>
  <c r="AI80" i="1"/>
  <c r="AI88" i="1"/>
  <c r="AI65" i="1"/>
  <c r="AI59" i="1"/>
  <c r="AI49" i="1"/>
  <c r="AI37" i="1"/>
  <c r="AI32" i="1"/>
  <c r="AI22" i="1"/>
  <c r="AI8" i="1"/>
  <c r="AI81" i="1"/>
  <c r="AH48" i="1"/>
  <c r="BG48" i="1"/>
  <c r="AH145" i="1"/>
  <c r="BG145" i="1"/>
  <c r="AH101" i="1"/>
  <c r="BG101" i="1"/>
  <c r="AH92" i="1"/>
  <c r="BG92" i="1"/>
  <c r="AH57" i="1"/>
  <c r="BG57" i="1"/>
  <c r="AH54" i="1"/>
  <c r="BG54" i="1"/>
  <c r="AH63" i="1"/>
  <c r="BG63" i="1"/>
  <c r="AH123" i="1"/>
  <c r="BG123" i="1"/>
  <c r="AH151" i="1"/>
  <c r="BG151" i="1"/>
  <c r="AH23" i="1"/>
  <c r="BG23" i="1"/>
  <c r="AH150" i="1"/>
  <c r="BG150" i="1"/>
  <c r="AH16" i="1"/>
  <c r="BG16" i="1"/>
  <c r="AH22" i="1"/>
  <c r="BG22" i="1"/>
  <c r="AH51" i="1"/>
  <c r="BG51" i="1"/>
  <c r="AH97" i="1"/>
  <c r="BG97" i="1"/>
  <c r="AH4" i="1"/>
  <c r="BG4" i="1"/>
  <c r="AH49" i="1"/>
  <c r="BG49" i="1"/>
  <c r="AH144" i="1"/>
  <c r="BG144" i="1"/>
  <c r="AH149" i="1"/>
  <c r="BG149" i="1"/>
  <c r="AH52" i="1"/>
  <c r="BG52" i="1"/>
  <c r="AH90" i="1"/>
  <c r="BG90" i="1"/>
  <c r="AH18" i="1"/>
  <c r="BG18" i="1"/>
  <c r="AH17" i="1"/>
  <c r="BG17" i="1"/>
  <c r="AH146" i="1"/>
  <c r="BG146" i="1"/>
  <c r="AH134" i="1"/>
  <c r="BG134" i="1"/>
  <c r="AH46" i="1"/>
  <c r="BG46" i="1"/>
  <c r="AH129" i="1"/>
  <c r="BG129" i="1"/>
  <c r="AH45" i="1"/>
  <c r="BG45" i="1"/>
  <c r="AH91" i="1"/>
  <c r="BG91" i="1"/>
  <c r="AH50" i="1"/>
  <c r="BG50" i="1"/>
  <c r="AH30" i="1"/>
  <c r="BG30" i="1"/>
  <c r="AH9" i="1"/>
  <c r="BG9" i="1"/>
  <c r="AH132" i="1"/>
  <c r="BG132" i="1"/>
  <c r="AH143" i="1"/>
  <c r="BG143" i="1"/>
  <c r="AH53" i="1"/>
  <c r="BG53" i="1"/>
  <c r="AH106" i="1"/>
  <c r="BG106" i="1"/>
  <c r="AH147" i="1"/>
  <c r="BG147" i="1"/>
  <c r="AH19" i="1"/>
  <c r="BG19" i="1"/>
  <c r="AH42" i="1"/>
  <c r="BG42" i="1"/>
  <c r="AH39" i="1"/>
  <c r="BG39" i="1"/>
  <c r="AH148" i="1"/>
  <c r="BG148" i="1"/>
  <c r="AH122" i="1"/>
  <c r="BG122" i="1"/>
  <c r="AH95" i="1"/>
  <c r="BG95" i="1"/>
  <c r="AH89" i="1"/>
  <c r="BG89" i="1"/>
  <c r="AH94" i="1"/>
  <c r="BG94" i="1"/>
  <c r="AH93" i="1"/>
  <c r="BG93" i="1"/>
  <c r="AH31" i="1"/>
  <c r="BG31" i="1"/>
  <c r="AH56" i="1"/>
  <c r="BG56" i="1"/>
  <c r="AH55" i="1"/>
  <c r="BG55" i="1"/>
  <c r="AH130" i="1"/>
  <c r="BG130" i="1"/>
  <c r="AH152" i="1"/>
  <c r="BG152" i="1"/>
  <c r="E19" i="42" a="1"/>
  <c r="E19" i="42" s="1"/>
  <c r="H14" i="34" a="1"/>
  <c r="H14" i="34" s="1"/>
  <c r="F15" i="13"/>
  <c r="BF157" i="1"/>
  <c r="F12" i="13"/>
  <c r="AL64" i="1" l="1"/>
  <c r="F54" i="42"/>
  <c r="AH79" i="1"/>
  <c r="AL79" i="1" s="1"/>
  <c r="D28" i="59"/>
  <c r="D30" i="59" s="1"/>
  <c r="P15" i="58"/>
  <c r="O26" i="58"/>
  <c r="O12" i="58"/>
  <c r="O20" i="58"/>
  <c r="O25" i="58"/>
  <c r="P14" i="58"/>
  <c r="O23" i="58"/>
  <c r="O15" i="58"/>
  <c r="P22" i="58"/>
  <c r="N41" i="15"/>
  <c r="Q23" i="58"/>
  <c r="P26" i="58"/>
  <c r="P20" i="58"/>
  <c r="P12" i="58"/>
  <c r="O5" i="58"/>
  <c r="O14" i="58"/>
  <c r="P23" i="58"/>
  <c r="Q18" i="58"/>
  <c r="P9" i="58"/>
  <c r="O16" i="58"/>
  <c r="N10" i="58"/>
  <c r="M10" i="58"/>
  <c r="L10" i="58"/>
  <c r="Q9" i="58"/>
  <c r="Q6" i="58"/>
  <c r="Q15" i="58"/>
  <c r="J13" i="58"/>
  <c r="P16" i="58"/>
  <c r="I7" i="58"/>
  <c r="P7" i="58" s="1"/>
  <c r="J11" i="58"/>
  <c r="Q14" i="58"/>
  <c r="Q20" i="58"/>
  <c r="I13" i="58"/>
  <c r="P13" i="58" s="1"/>
  <c r="O6" i="58"/>
  <c r="Q16" i="58"/>
  <c r="H7" i="58"/>
  <c r="O7" i="58" s="1"/>
  <c r="I8" i="58"/>
  <c r="P8" i="58" s="1"/>
  <c r="H13" i="58"/>
  <c r="O13" i="58" s="1"/>
  <c r="P6" i="58"/>
  <c r="J7" i="58"/>
  <c r="P18" i="58"/>
  <c r="O3" i="58"/>
  <c r="O22" i="58"/>
  <c r="H8" i="58"/>
  <c r="O8" i="58" s="1"/>
  <c r="H24" i="58"/>
  <c r="O24" i="58" s="1"/>
  <c r="O9" i="58"/>
  <c r="O19" i="58"/>
  <c r="P3" i="58"/>
  <c r="Q5" i="58"/>
  <c r="H21" i="58"/>
  <c r="O21" i="58" s="1"/>
  <c r="J8" i="58"/>
  <c r="Q12" i="58"/>
  <c r="J24" i="58"/>
  <c r="J4" i="58"/>
  <c r="Q4" i="58" s="1"/>
  <c r="Q19" i="58"/>
  <c r="Q3" i="58"/>
  <c r="Q22" i="58"/>
  <c r="J21" i="58"/>
  <c r="H17" i="58"/>
  <c r="O17" i="58" s="1"/>
  <c r="I24" i="58"/>
  <c r="P24" i="58" s="1"/>
  <c r="I4" i="58"/>
  <c r="P4" i="58" s="1"/>
  <c r="P19" i="58"/>
  <c r="Q26" i="58"/>
  <c r="I21" i="58"/>
  <c r="P21" i="58" s="1"/>
  <c r="I17" i="58"/>
  <c r="P17" i="58" s="1"/>
  <c r="P25" i="58"/>
  <c r="H4" i="58"/>
  <c r="O4" i="58" s="1"/>
  <c r="H11" i="58"/>
  <c r="O11" i="58" s="1"/>
  <c r="J10" i="58"/>
  <c r="I10" i="58"/>
  <c r="H10" i="58"/>
  <c r="J17" i="58"/>
  <c r="Q25" i="58"/>
  <c r="I11" i="58"/>
  <c r="P11" i="58" s="1"/>
  <c r="AB157" i="1"/>
  <c r="AH113" i="1"/>
  <c r="AL113" i="1" s="1"/>
  <c r="F13" i="13"/>
  <c r="F8" i="13"/>
  <c r="BG79" i="1"/>
  <c r="F14" i="13"/>
  <c r="M3" i="15"/>
  <c r="L3" i="15"/>
  <c r="K3" i="15"/>
  <c r="BA157" i="1"/>
  <c r="R3" i="15"/>
  <c r="Q3" i="15"/>
  <c r="P3" i="15"/>
  <c r="BB157" i="1"/>
  <c r="AG157" i="1"/>
  <c r="AL39" i="1"/>
  <c r="N29" i="15"/>
  <c r="N45" i="15"/>
  <c r="AL145" i="1"/>
  <c r="AL45" i="1"/>
  <c r="AL49" i="1"/>
  <c r="AL54" i="1"/>
  <c r="AL152" i="1"/>
  <c r="AL31" i="1"/>
  <c r="AL94" i="1"/>
  <c r="AL95" i="1"/>
  <c r="AL42" i="1"/>
  <c r="AL106" i="1"/>
  <c r="AL53" i="1"/>
  <c r="AL143" i="1"/>
  <c r="AL50" i="1"/>
  <c r="AL46" i="1"/>
  <c r="AL18" i="1"/>
  <c r="AL4" i="1"/>
  <c r="AL16" i="1"/>
  <c r="AL23" i="1"/>
  <c r="AL151" i="1"/>
  <c r="AL57" i="1"/>
  <c r="AL48" i="1"/>
  <c r="N9" i="15"/>
  <c r="AL56" i="1"/>
  <c r="AL147" i="1"/>
  <c r="AL30" i="1"/>
  <c r="AL129" i="1"/>
  <c r="AL17" i="1"/>
  <c r="AL22" i="1"/>
  <c r="AL150" i="1"/>
  <c r="AL130" i="1"/>
  <c r="AL93" i="1"/>
  <c r="AL89" i="1"/>
  <c r="AL122" i="1"/>
  <c r="AL19" i="1"/>
  <c r="AL132" i="1"/>
  <c r="AL91" i="1"/>
  <c r="AL134" i="1"/>
  <c r="AL90" i="1"/>
  <c r="AL149" i="1"/>
  <c r="AL97" i="1"/>
  <c r="AL123" i="1"/>
  <c r="AL92" i="1"/>
  <c r="AL55" i="1"/>
  <c r="AL148" i="1"/>
  <c r="AL9" i="1"/>
  <c r="AL146" i="1"/>
  <c r="AL52" i="1"/>
  <c r="AL144" i="1"/>
  <c r="AL51" i="1"/>
  <c r="AL63" i="1"/>
  <c r="AL101" i="1"/>
  <c r="F10" i="13"/>
  <c r="F6" i="13"/>
  <c r="F7" i="13"/>
  <c r="F11" i="13"/>
  <c r="O10" i="58" l="1"/>
  <c r="P10" i="58"/>
  <c r="F10" i="49"/>
  <c r="F7" i="49"/>
  <c r="E4" i="49"/>
  <c r="K23" i="58"/>
  <c r="R23" i="58" s="1"/>
  <c r="T23" i="58" s="1"/>
  <c r="K14" i="58"/>
  <c r="S14" i="58" s="1"/>
  <c r="K25" i="58"/>
  <c r="S25" i="58" s="1"/>
  <c r="K19" i="58"/>
  <c r="S19" i="58" s="1"/>
  <c r="K13" i="58"/>
  <c r="S13" i="58" s="1"/>
  <c r="K12" i="58"/>
  <c r="K5" i="58"/>
  <c r="K22" i="58"/>
  <c r="K3" i="58"/>
  <c r="K9" i="58"/>
  <c r="N42" i="15"/>
  <c r="K8" i="58"/>
  <c r="S8" i="58" s="1"/>
  <c r="Q11" i="58"/>
  <c r="Q17" i="58"/>
  <c r="Q24" i="58"/>
  <c r="Q21" i="58"/>
  <c r="Q7" i="58"/>
  <c r="K17" i="58"/>
  <c r="S17" i="58" s="1"/>
  <c r="K11" i="58"/>
  <c r="S11" i="58" s="1"/>
  <c r="K24" i="58"/>
  <c r="S24" i="58" s="1"/>
  <c r="Q13" i="58"/>
  <c r="K18" i="58"/>
  <c r="K21" i="58"/>
  <c r="S21" i="58" s="1"/>
  <c r="K6" i="58"/>
  <c r="Q10" i="58"/>
  <c r="K7" i="58"/>
  <c r="S7" i="58" s="1"/>
  <c r="K15" i="58"/>
  <c r="K16" i="58"/>
  <c r="K20" i="58"/>
  <c r="K26" i="58"/>
  <c r="K10" i="58"/>
  <c r="S10" i="58" s="1"/>
  <c r="Q8" i="58"/>
  <c r="J4" i="49"/>
  <c r="J10" i="52"/>
  <c r="J13" i="52"/>
  <c r="J4" i="52"/>
  <c r="J7" i="52"/>
  <c r="J13" i="49"/>
  <c r="J10" i="49"/>
  <c r="J7" i="49"/>
  <c r="I7" i="49"/>
  <c r="I10" i="49"/>
  <c r="K7" i="52"/>
  <c r="K10" i="49"/>
  <c r="K10" i="52"/>
  <c r="K7" i="49"/>
  <c r="D4" i="49"/>
  <c r="L13" i="52"/>
  <c r="L16" i="52"/>
  <c r="L13" i="49"/>
  <c r="L16" i="49"/>
  <c r="L7" i="49"/>
  <c r="L10" i="49"/>
  <c r="H7" i="52"/>
  <c r="H4" i="52"/>
  <c r="H4" i="49"/>
  <c r="H10" i="49"/>
  <c r="H13" i="52"/>
  <c r="H7" i="49"/>
  <c r="H10" i="52"/>
  <c r="H13" i="49"/>
  <c r="G7" i="52"/>
  <c r="G10" i="52"/>
  <c r="G7" i="49"/>
  <c r="G4" i="49"/>
  <c r="G10" i="49"/>
  <c r="G13" i="52"/>
  <c r="G13" i="49"/>
  <c r="D7" i="49"/>
  <c r="N39" i="15"/>
  <c r="N38" i="15"/>
  <c r="N22" i="15"/>
  <c r="N23" i="15"/>
  <c r="N10" i="15"/>
  <c r="N5" i="15"/>
  <c r="N13" i="15"/>
  <c r="N43" i="15"/>
  <c r="N51" i="15"/>
  <c r="N50" i="15"/>
  <c r="N27" i="15"/>
  <c r="N7" i="15"/>
  <c r="N34" i="15"/>
  <c r="N37" i="15"/>
  <c r="N24" i="15"/>
  <c r="N28" i="15"/>
  <c r="N36" i="15"/>
  <c r="N40" i="15"/>
  <c r="N31" i="15"/>
  <c r="N11" i="15"/>
  <c r="N33" i="15"/>
  <c r="N19" i="15"/>
  <c r="N46" i="15"/>
  <c r="N49" i="15"/>
  <c r="N26" i="15"/>
  <c r="N44" i="15"/>
  <c r="N48" i="15"/>
  <c r="N15" i="15"/>
  <c r="N16" i="15"/>
  <c r="N12" i="15"/>
  <c r="N3" i="15"/>
  <c r="N17" i="15"/>
  <c r="N25" i="15"/>
  <c r="N21" i="15"/>
  <c r="N6" i="15"/>
  <c r="N4" i="15"/>
  <c r="N14" i="15"/>
  <c r="N30" i="15"/>
  <c r="N47" i="15"/>
  <c r="N8" i="15"/>
  <c r="N20" i="15"/>
  <c r="N35" i="15"/>
  <c r="N18" i="15"/>
  <c r="N32" i="15"/>
  <c r="G23" i="42"/>
  <c r="H23" i="42" s="1"/>
  <c r="G26" i="42"/>
  <c r="H26" i="42" s="1"/>
  <c r="G27" i="42"/>
  <c r="H27" i="42" s="1"/>
  <c r="AH157" i="1"/>
  <c r="G28" i="42"/>
  <c r="H28" i="42" s="1"/>
  <c r="G21" i="42"/>
  <c r="H21" i="42" s="1"/>
  <c r="G25" i="42"/>
  <c r="H25" i="42" s="1"/>
  <c r="D10" i="42"/>
  <c r="S30" i="15"/>
  <c r="S50" i="15"/>
  <c r="S48" i="15"/>
  <c r="S23" i="15"/>
  <c r="S38" i="15"/>
  <c r="S5" i="15"/>
  <c r="S44" i="15"/>
  <c r="S42" i="15"/>
  <c r="S36" i="15"/>
  <c r="S40" i="15"/>
  <c r="S15" i="15"/>
  <c r="S29" i="15"/>
  <c r="S35" i="15"/>
  <c r="S39" i="15"/>
  <c r="S47" i="15"/>
  <c r="S9" i="15"/>
  <c r="S28" i="15"/>
  <c r="S34" i="15"/>
  <c r="S20" i="15"/>
  <c r="S32" i="15"/>
  <c r="S7" i="15"/>
  <c r="S4" i="15"/>
  <c r="S12" i="15"/>
  <c r="S26" i="15"/>
  <c r="S49" i="15"/>
  <c r="S24" i="15"/>
  <c r="S22" i="15"/>
  <c r="S46" i="15"/>
  <c r="S43" i="15"/>
  <c r="S18" i="15"/>
  <c r="S41" i="15"/>
  <c r="S16" i="15"/>
  <c r="S14" i="15"/>
  <c r="S21" i="15"/>
  <c r="S10" i="15"/>
  <c r="S33" i="15"/>
  <c r="S8" i="15"/>
  <c r="S6" i="15"/>
  <c r="S51" i="15"/>
  <c r="S19" i="15"/>
  <c r="S37" i="15"/>
  <c r="S25" i="15"/>
  <c r="S45" i="15"/>
  <c r="S27" i="15"/>
  <c r="S11" i="15"/>
  <c r="S17" i="15"/>
  <c r="S31" i="15"/>
  <c r="S13" i="15"/>
  <c r="S3" i="15"/>
  <c r="U39" i="15"/>
  <c r="U41" i="15"/>
  <c r="V39" i="15"/>
  <c r="V29" i="15"/>
  <c r="T11" i="15"/>
  <c r="T27" i="15"/>
  <c r="V33" i="15"/>
  <c r="T21" i="15"/>
  <c r="T12" i="15"/>
  <c r="U35" i="15"/>
  <c r="V27" i="15"/>
  <c r="T49" i="15"/>
  <c r="T39" i="15"/>
  <c r="U29" i="15"/>
  <c r="T37" i="15"/>
  <c r="T51" i="15"/>
  <c r="U21" i="15"/>
  <c r="T29" i="15"/>
  <c r="T47" i="15"/>
  <c r="T41" i="15"/>
  <c r="U37" i="15"/>
  <c r="T13" i="15"/>
  <c r="U42" i="15"/>
  <c r="V13" i="15"/>
  <c r="T31" i="15"/>
  <c r="U27" i="15"/>
  <c r="U23" i="15"/>
  <c r="U49" i="15"/>
  <c r="V45" i="15"/>
  <c r="V41" i="15"/>
  <c r="V47" i="15"/>
  <c r="V49" i="15"/>
  <c r="U26" i="15"/>
  <c r="V31" i="15"/>
  <c r="V23" i="15"/>
  <c r="U47" i="15"/>
  <c r="U32" i="15"/>
  <c r="T23" i="15"/>
  <c r="V43" i="15"/>
  <c r="T35" i="15"/>
  <c r="U45" i="15"/>
  <c r="U31" i="15"/>
  <c r="V37" i="15"/>
  <c r="T45" i="15"/>
  <c r="V35" i="15"/>
  <c r="T33" i="15"/>
  <c r="U33" i="15"/>
  <c r="U51" i="15"/>
  <c r="V51" i="15"/>
  <c r="U13" i="15"/>
  <c r="T40" i="15"/>
  <c r="V21" i="15"/>
  <c r="U43" i="15"/>
  <c r="U28" i="15"/>
  <c r="U17" i="15"/>
  <c r="T43" i="15"/>
  <c r="U16" i="15"/>
  <c r="T42" i="15"/>
  <c r="T48" i="15"/>
  <c r="U50" i="15"/>
  <c r="V10" i="15"/>
  <c r="V6" i="15"/>
  <c r="U3" i="15"/>
  <c r="T3" i="15"/>
  <c r="V3" i="15"/>
  <c r="F9" i="13"/>
  <c r="V42" i="15"/>
  <c r="U38" i="15"/>
  <c r="U11" i="15"/>
  <c r="T36" i="15"/>
  <c r="V38" i="15"/>
  <c r="T38" i="15"/>
  <c r="V17" i="15"/>
  <c r="U36" i="15"/>
  <c r="V36" i="15"/>
  <c r="T50" i="15"/>
  <c r="V22" i="15"/>
  <c r="V26" i="15"/>
  <c r="T17" i="15"/>
  <c r="U24" i="15"/>
  <c r="U20" i="15"/>
  <c r="U6" i="15"/>
  <c r="T32" i="15"/>
  <c r="T25" i="15"/>
  <c r="T22" i="15"/>
  <c r="U7" i="15"/>
  <c r="U40" i="15"/>
  <c r="U10" i="15"/>
  <c r="V9" i="15"/>
  <c r="V46" i="15"/>
  <c r="V30" i="15"/>
  <c r="V14" i="15"/>
  <c r="U44" i="15"/>
  <c r="V28" i="15"/>
  <c r="U34" i="15"/>
  <c r="V25" i="15"/>
  <c r="T10" i="15"/>
  <c r="V15" i="15"/>
  <c r="T26" i="15"/>
  <c r="T24" i="15"/>
  <c r="V7" i="15"/>
  <c r="V32" i="15"/>
  <c r="T16" i="15"/>
  <c r="T18" i="15"/>
  <c r="T15" i="15"/>
  <c r="V16" i="15"/>
  <c r="V8" i="15"/>
  <c r="V44" i="15"/>
  <c r="U5" i="15"/>
  <c r="T19" i="15"/>
  <c r="V50" i="15"/>
  <c r="V34" i="15"/>
  <c r="V18" i="15"/>
  <c r="V4" i="15"/>
  <c r="V48" i="15"/>
  <c r="T8" i="15"/>
  <c r="T4" i="15"/>
  <c r="V24" i="15"/>
  <c r="U25" i="15"/>
  <c r="U15" i="15"/>
  <c r="T20" i="15"/>
  <c r="T6" i="15"/>
  <c r="U9" i="15"/>
  <c r="T46" i="15"/>
  <c r="U30" i="15"/>
  <c r="T14" i="15"/>
  <c r="V11" i="15"/>
  <c r="U12" i="15"/>
  <c r="T5" i="15"/>
  <c r="U19" i="15"/>
  <c r="U22" i="15"/>
  <c r="T7" i="15"/>
  <c r="V40" i="15"/>
  <c r="V20" i="15"/>
  <c r="U48" i="15"/>
  <c r="T9" i="15"/>
  <c r="U46" i="15"/>
  <c r="T30" i="15"/>
  <c r="U14" i="15"/>
  <c r="U8" i="15"/>
  <c r="T44" i="15"/>
  <c r="T28" i="15"/>
  <c r="V12" i="15"/>
  <c r="V5" i="15"/>
  <c r="V19" i="15"/>
  <c r="T34" i="15"/>
  <c r="U18" i="15"/>
  <c r="U4" i="15"/>
  <c r="G24" i="42" l="1"/>
  <c r="H24" i="42" s="1"/>
  <c r="S23" i="58"/>
  <c r="R13" i="58"/>
  <c r="T13" i="58" s="1"/>
  <c r="R8" i="58"/>
  <c r="T8" i="58" s="1"/>
  <c r="R25" i="58"/>
  <c r="T25" i="58" s="1"/>
  <c r="R14" i="58"/>
  <c r="T14" i="58" s="1"/>
  <c r="R19" i="58"/>
  <c r="T19" i="58" s="1"/>
  <c r="S15" i="58"/>
  <c r="R15" i="58"/>
  <c r="T15" i="58" s="1"/>
  <c r="R11" i="58"/>
  <c r="T11" i="58" s="1"/>
  <c r="R24" i="58"/>
  <c r="T24" i="58" s="1"/>
  <c r="K4" i="58"/>
  <c r="R10" i="58"/>
  <c r="T10" i="58" s="1"/>
  <c r="S3" i="58"/>
  <c r="R3" i="58"/>
  <c r="T3" i="58" s="1"/>
  <c r="S6" i="58"/>
  <c r="R6" i="58"/>
  <c r="T6" i="58" s="1"/>
  <c r="S26" i="58"/>
  <c r="R26" i="58"/>
  <c r="T26" i="58" s="1"/>
  <c r="R7" i="58"/>
  <c r="T7" i="58" s="1"/>
  <c r="R17" i="58"/>
  <c r="T17" i="58" s="1"/>
  <c r="S22" i="58"/>
  <c r="R22" i="58"/>
  <c r="T22" i="58" s="1"/>
  <c r="S20" i="58"/>
  <c r="R20" i="58"/>
  <c r="T20" i="58" s="1"/>
  <c r="S18" i="58"/>
  <c r="R18" i="58"/>
  <c r="T18" i="58" s="1"/>
  <c r="S9" i="58"/>
  <c r="R9" i="58"/>
  <c r="T9" i="58" s="1"/>
  <c r="S5" i="58"/>
  <c r="R5" i="58"/>
  <c r="T5" i="58" s="1"/>
  <c r="S16" i="58"/>
  <c r="R16" i="58"/>
  <c r="T16" i="58" s="1"/>
  <c r="R21" i="58"/>
  <c r="T21" i="58" s="1"/>
  <c r="S12" i="58"/>
  <c r="R12" i="58"/>
  <c r="T12" i="58" s="1"/>
  <c r="G22" i="42"/>
  <c r="H22" i="42" s="1"/>
  <c r="G19" i="42"/>
  <c r="H19" i="42" s="1"/>
  <c r="D9" i="42"/>
  <c r="AL157" i="1"/>
  <c r="G20" i="42"/>
  <c r="H20" i="42" s="1"/>
  <c r="R4" i="58" l="1"/>
  <c r="T4" i="58" s="1"/>
  <c r="S4" i="58"/>
  <c r="D8" i="42"/>
  <c r="BG157" i="1"/>
  <c r="D7"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tc={EE9D0896-B3AB-40B8-8DA6-1372FE04FBED}</author>
  </authors>
  <commentList>
    <comment ref="E2" authorId="0" shapeId="0" xr:uid="{EE9D0896-B3AB-40B8-8DA6-1372FE04FBED}">
      <text>
        <t>[Threaded comment]
Your version of Excel allows you to read this threaded comment; however, any edits to it will get removed if the file is opened in a newer version of Excel. Learn more: https://go.microsoft.com/fwlink/?linkid=870924
Comment:
    1. Copy and paste Text Only for Column E. 
2. Review and Clean up text after "In addition, HALOCK recommends…" 
3. Then DELETE columns C and D. 
4. Can DELETE rows that do not have "0%" in Column S or delete "In addition" Line.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<sst xmlns="http://schemas.openxmlformats.org/spreadsheetml/2006/main" count="5544" uniqueCount="1986">
  <si>
    <t>Row Labels</t>
  </si>
  <si>
    <t>Initial Risk Score (Avg)</t>
  </si>
  <si>
    <t>Acceptable Risk Level</t>
  </si>
  <si>
    <t>Initial Risk Score (Max)</t>
  </si>
  <si>
    <t>Target Risk Score (Avg)</t>
  </si>
  <si>
    <t>Target Risk Score (Max)</t>
  </si>
  <si>
    <t>Current Risk Score (Avg)</t>
  </si>
  <si>
    <t>Current Risk Score (Max)</t>
  </si>
  <si>
    <t>InfoSec Organization</t>
  </si>
  <si>
    <t>Audit &amp; Compliance</t>
  </si>
  <si>
    <t>Risk Assessment</t>
  </si>
  <si>
    <t>Data Classification &amp; Handling</t>
  </si>
  <si>
    <t>Third Party Security</t>
  </si>
  <si>
    <t>Incident Response</t>
  </si>
  <si>
    <t>BC/DR</t>
  </si>
  <si>
    <t>Change Control</t>
  </si>
  <si>
    <t>Secure Application Development</t>
  </si>
  <si>
    <t>Asset Management</t>
  </si>
  <si>
    <t>Access Control</t>
  </si>
  <si>
    <t>Credential Management</t>
  </si>
  <si>
    <t>Cryptographic Controls</t>
  </si>
  <si>
    <t>Monitoring &amp; Logging</t>
  </si>
  <si>
    <t>Vulnerability Management</t>
  </si>
  <si>
    <t>Maintenance</t>
  </si>
  <si>
    <t>Network Architecture</t>
  </si>
  <si>
    <t>Security Awareness</t>
  </si>
  <si>
    <t>HR Security</t>
  </si>
  <si>
    <t>Physical Security</t>
  </si>
  <si>
    <t>Media Security</t>
  </si>
  <si>
    <t>Grand Total</t>
  </si>
  <si>
    <t>Hacking System</t>
  </si>
  <si>
    <t>Hacking Web</t>
  </si>
  <si>
    <t>Malware</t>
  </si>
  <si>
    <t>Personnel Error</t>
  </si>
  <si>
    <t>Personnel Misuse</t>
  </si>
  <si>
    <t>Physical Asset Loss</t>
  </si>
  <si>
    <t>Social Engineering</t>
  </si>
  <si>
    <t>System Failure</t>
  </si>
  <si>
    <t>Common Security Program</t>
  </si>
  <si>
    <t>Common Security Control</t>
  </si>
  <si>
    <t>Asset Designation (optional)</t>
  </si>
  <si>
    <r>
      <rPr>
        <b/>
        <sz val="12"/>
        <color theme="1"/>
        <rFont val="Calibri"/>
        <family val="2"/>
        <scheme val="minor"/>
      </rPr>
      <t xml:space="preserve">Vulnerabilities </t>
    </r>
    <r>
      <rPr>
        <sz val="12"/>
        <color theme="1"/>
        <rFont val="Calibri"/>
        <family val="2"/>
        <scheme val="minor"/>
      </rPr>
      <t xml:space="preserve">
What weaknesses are often found in this control that make it difficult to prevent or detect the threat?</t>
    </r>
  </si>
  <si>
    <r>
      <rPr>
        <b/>
        <sz val="12"/>
        <color theme="1"/>
        <rFont val="Calibri"/>
        <family val="2"/>
        <scheme val="minor"/>
      </rPr>
      <t>Threat</t>
    </r>
    <r>
      <rPr>
        <sz val="12"/>
        <color theme="1"/>
        <rFont val="Calibri"/>
        <family val="2"/>
        <scheme val="minor"/>
      </rPr>
      <t xml:space="preserve">
Threats that take advantage of common vulnerabilities to create impacts.</t>
    </r>
  </si>
  <si>
    <r>
      <rPr>
        <b/>
        <sz val="12"/>
        <color theme="1"/>
        <rFont val="Calibri"/>
        <family val="2"/>
        <scheme val="minor"/>
      </rPr>
      <t>Observed Control</t>
    </r>
    <r>
      <rPr>
        <sz val="12"/>
        <color theme="1"/>
        <rFont val="Calibri"/>
        <family val="2"/>
        <scheme val="minor"/>
      </rPr>
      <t xml:space="preserve">
What controls and weaknesses were observed at CellTrak that may effect their ability to prevent or detect the threat?</t>
    </r>
  </si>
  <si>
    <r>
      <rPr>
        <b/>
        <sz val="12"/>
        <rFont val="Calibri"/>
        <family val="2"/>
        <scheme val="minor"/>
      </rPr>
      <t>What would be the impact to the mission if this risk were to occur?</t>
    </r>
    <r>
      <rPr>
        <sz val="12"/>
        <rFont val="Calibri"/>
        <family val="2"/>
        <scheme val="minor"/>
      </rPr>
      <t xml:space="preserve">
1. Negligible
2. Acceptable
3. Unacceptable
4. High
5. Catastrophic
See Risk Assessment Criteria</t>
    </r>
  </si>
  <si>
    <r>
      <rPr>
        <b/>
        <sz val="12"/>
        <rFont val="Calibri"/>
        <family val="2"/>
        <scheme val="minor"/>
      </rPr>
      <t>What would be the impact to the objectives if this risk were to occur?</t>
    </r>
    <r>
      <rPr>
        <sz val="12"/>
        <rFont val="Calibri"/>
        <family val="2"/>
        <scheme val="minor"/>
      </rPr>
      <t xml:space="preserve">
1. Negligible
2. Acceptable
3. Unacceptable
4. High
5. Catastrophic
See Risk Assessment Criteria</t>
    </r>
  </si>
  <si>
    <r>
      <rPr>
        <b/>
        <sz val="12"/>
        <rFont val="Calibri"/>
        <family val="2"/>
        <scheme val="minor"/>
      </rPr>
      <t>What would be the impact to the obligations if this risk were to occur?</t>
    </r>
    <r>
      <rPr>
        <sz val="12"/>
        <rFont val="Calibri"/>
        <family val="2"/>
        <scheme val="minor"/>
      </rPr>
      <t xml:space="preserve">
1. Negligible
2. Acceptable
3. Unacceptable
4. High
5. Catastrophic
See Risk Assessment Criteria</t>
    </r>
  </si>
  <si>
    <t>What is the Highest Impact Score?</t>
  </si>
  <si>
    <r>
      <rPr>
        <b/>
        <sz val="12"/>
        <color indexed="8"/>
        <rFont val="Calibri"/>
        <family val="2"/>
        <scheme val="minor"/>
      </rPr>
      <t>Risk Score = Likelihood Score x Highest Impact Score</t>
    </r>
    <r>
      <rPr>
        <sz val="12"/>
        <color indexed="8"/>
        <rFont val="Calibri"/>
        <family val="2"/>
        <scheme val="minor"/>
      </rPr>
      <t xml:space="preserve">
Acceptable risk is '6' or below.</t>
    </r>
  </si>
  <si>
    <r>
      <rPr>
        <b/>
        <sz val="12"/>
        <color indexed="8"/>
        <rFont val="Calibri"/>
        <family val="2"/>
        <scheme val="minor"/>
      </rPr>
      <t>Red</t>
    </r>
    <r>
      <rPr>
        <sz val="12"/>
        <color indexed="8"/>
        <rFont val="Calibri"/>
        <family val="2"/>
        <scheme val="minor"/>
      </rPr>
      <t xml:space="preserve"> = High
</t>
    </r>
    <r>
      <rPr>
        <b/>
        <sz val="12"/>
        <color indexed="8"/>
        <rFont val="Calibri"/>
        <family val="2"/>
        <scheme val="minor"/>
      </rPr>
      <t>Yellow</t>
    </r>
    <r>
      <rPr>
        <sz val="12"/>
        <color indexed="8"/>
        <rFont val="Calibri"/>
        <family val="2"/>
        <scheme val="minor"/>
      </rPr>
      <t xml:space="preserve"> = Unacceptable
</t>
    </r>
    <r>
      <rPr>
        <b/>
        <sz val="12"/>
        <color indexed="8"/>
        <rFont val="Calibri"/>
        <family val="2"/>
        <scheme val="minor"/>
      </rPr>
      <t>Green</t>
    </r>
    <r>
      <rPr>
        <sz val="12"/>
        <color indexed="8"/>
        <rFont val="Calibri"/>
        <family val="2"/>
        <scheme val="minor"/>
      </rPr>
      <t xml:space="preserve"> = Acceptable</t>
    </r>
  </si>
  <si>
    <r>
      <rPr>
        <b/>
        <sz val="12"/>
        <color indexed="8"/>
        <rFont val="Calibri"/>
        <family val="2"/>
        <scheme val="minor"/>
      </rPr>
      <t>Risk Treatment Option</t>
    </r>
    <r>
      <rPr>
        <sz val="12"/>
        <color indexed="8"/>
        <rFont val="Calibri"/>
        <family val="2"/>
        <scheme val="minor"/>
      </rPr>
      <t xml:space="preserve">
Will CellTrak manage, avoid, transfer or accept this risk?</t>
    </r>
  </si>
  <si>
    <r>
      <rPr>
        <b/>
        <sz val="12"/>
        <color indexed="8"/>
        <rFont val="Calibri"/>
        <family val="2"/>
        <scheme val="minor"/>
      </rPr>
      <t>Recommended Safeguards</t>
    </r>
    <r>
      <rPr>
        <sz val="12"/>
        <color indexed="8"/>
        <rFont val="Calibri"/>
        <family val="2"/>
        <scheme val="minor"/>
      </rPr>
      <t xml:space="preserve">
Recommendations for addressing observed vulnerabilities</t>
    </r>
  </si>
  <si>
    <r>
      <rPr>
        <b/>
        <sz val="12"/>
        <rFont val="Calibri"/>
        <family val="2"/>
        <scheme val="minor"/>
      </rPr>
      <t>What impact would this safeguard create to the mission?</t>
    </r>
    <r>
      <rPr>
        <sz val="12"/>
        <rFont val="Calibri"/>
        <family val="2"/>
        <scheme val="minor"/>
      </rPr>
      <t xml:space="preserve">
1. Negligible
2. Acceptable
3. Unacceptable
4. High
5. Catastrophic 
See Risk Assessment Criteria</t>
    </r>
  </si>
  <si>
    <r>
      <rPr>
        <b/>
        <sz val="12"/>
        <rFont val="Calibri"/>
        <family val="2"/>
        <scheme val="minor"/>
      </rPr>
      <t>What impact would this safeguard create to the objectives?</t>
    </r>
    <r>
      <rPr>
        <sz val="12"/>
        <rFont val="Calibri"/>
        <family val="2"/>
        <scheme val="minor"/>
      </rPr>
      <t xml:space="preserve">
1. Negligible
2. Acceptable
3. Unacceptable
4. High
5. Catastrophic
See Risk Assessment Criteria</t>
    </r>
  </si>
  <si>
    <r>
      <rPr>
        <b/>
        <sz val="12"/>
        <rFont val="Calibri"/>
        <family val="2"/>
        <scheme val="minor"/>
      </rPr>
      <t>What impact would this safeguard create to the obligations?</t>
    </r>
    <r>
      <rPr>
        <sz val="12"/>
        <rFont val="Calibri"/>
        <family val="2"/>
        <scheme val="minor"/>
      </rPr>
      <t xml:space="preserve">
1. Negligible
2. Acceptable
3. Unacceptable
4. High
5. Catastrophic
See Risk Assessment Criteria</t>
    </r>
  </si>
  <si>
    <r>
      <rPr>
        <b/>
        <sz val="12"/>
        <color indexed="8"/>
        <rFont val="Calibri"/>
        <family val="2"/>
        <scheme val="minor"/>
      </rPr>
      <t>Acceptable</t>
    </r>
    <r>
      <rPr>
        <sz val="12"/>
        <color indexed="8"/>
        <rFont val="Calibri"/>
        <family val="2"/>
        <scheme val="minor"/>
      </rPr>
      <t xml:space="preserve"> = 1 - 6
</t>
    </r>
    <r>
      <rPr>
        <b/>
        <sz val="12"/>
        <color indexed="8"/>
        <rFont val="Calibri"/>
        <family val="2"/>
        <scheme val="minor"/>
      </rPr>
      <t>Moderate</t>
    </r>
    <r>
      <rPr>
        <sz val="12"/>
        <color indexed="8"/>
        <rFont val="Calibri"/>
        <family val="2"/>
        <scheme val="minor"/>
      </rPr>
      <t xml:space="preserve"> = 8 - 15
</t>
    </r>
    <r>
      <rPr>
        <b/>
        <sz val="12"/>
        <color indexed="8"/>
        <rFont val="Calibri"/>
        <family val="2"/>
        <scheme val="minor"/>
      </rPr>
      <t>High</t>
    </r>
    <r>
      <rPr>
        <sz val="12"/>
        <color indexed="8"/>
        <rFont val="Calibri"/>
        <family val="2"/>
        <scheme val="minor"/>
      </rPr>
      <t xml:space="preserve"> = 16 - 25
Risk = Impact x Likelihood</t>
    </r>
  </si>
  <si>
    <t>Risk #</t>
  </si>
  <si>
    <t>Threat Cluster</t>
  </si>
  <si>
    <t xml:space="preserve">Asset Designation </t>
  </si>
  <si>
    <t>Vulnerability</t>
  </si>
  <si>
    <t>Threat</t>
  </si>
  <si>
    <t>Observed Control(s)</t>
  </si>
  <si>
    <t>Associated Risk</t>
  </si>
  <si>
    <t>Control Maturity</t>
  </si>
  <si>
    <t>Likelihood Score</t>
  </si>
  <si>
    <t>Impact to Mission</t>
  </si>
  <si>
    <t>Impact to Objectives</t>
  </si>
  <si>
    <t>Impact to Obligations</t>
  </si>
  <si>
    <t>Impact Score</t>
  </si>
  <si>
    <t>Risk Score</t>
  </si>
  <si>
    <t>Risk Level</t>
  </si>
  <si>
    <t>Acceptable Level of Risk</t>
  </si>
  <si>
    <t>Current Level of Risk</t>
  </si>
  <si>
    <t>Risk Treatment Option</t>
  </si>
  <si>
    <t>Risk Treatment Program</t>
  </si>
  <si>
    <t>Risk Treatment Safeguard</t>
  </si>
  <si>
    <t>Control Maturity after SG</t>
  </si>
  <si>
    <t>Likelihood Score with Safeguard in Place</t>
  </si>
  <si>
    <t>Impact to Mission With Safeguard in Place</t>
  </si>
  <si>
    <t>Impact to Objectives With Safeguard in Place</t>
  </si>
  <si>
    <t>Impact to Obligations With Safeguard in Place</t>
  </si>
  <si>
    <t>Impact Score with Safeguard in Place</t>
  </si>
  <si>
    <t>Risk Score With Safeguard in Place</t>
  </si>
  <si>
    <t>Risk Level With Safeguard in Place</t>
  </si>
  <si>
    <t>Safeguard Status</t>
  </si>
  <si>
    <t>Comments</t>
  </si>
  <si>
    <t>Governance</t>
  </si>
  <si>
    <t>Documentation</t>
  </si>
  <si>
    <t>Operation</t>
  </si>
  <si>
    <t>Establish Organizational Information Security Data Classification &amp; Handling</t>
  </si>
  <si>
    <t>Implement Information Security Data Classification &amp; Handling</t>
  </si>
  <si>
    <t>In Progress</t>
  </si>
  <si>
    <t>Establish Organizational Information Security Third Party Security</t>
  </si>
  <si>
    <t>Implement Information Security Third Party Security</t>
  </si>
  <si>
    <t>Establish Organizational Information Security BC/DR</t>
  </si>
  <si>
    <t>Implement Information Security BC/DR</t>
  </si>
  <si>
    <t>Pending</t>
  </si>
  <si>
    <t>Implement Information Security Secure Application Development</t>
  </si>
  <si>
    <t>Implement Information Security Asset Management</t>
  </si>
  <si>
    <t>Establish Organizational Information Security Credential Management</t>
  </si>
  <si>
    <t>Implement Information Security Credential Management</t>
  </si>
  <si>
    <t>Establish Organizational Information Security Cryptographic Controls</t>
  </si>
  <si>
    <t>Implement Information Security Cryptographic Controls</t>
  </si>
  <si>
    <t>Establish Organizational Information Security Logging &amp; Monitoring</t>
  </si>
  <si>
    <t>Implement Information Security Logging &amp; Monitoring</t>
  </si>
  <si>
    <t>Establish Organizational Information Security Vulnerability Management</t>
  </si>
  <si>
    <t>Implement Information Security Vulnerability Management</t>
  </si>
  <si>
    <t>Implement Information Security Maintenance</t>
  </si>
  <si>
    <t>Establish Organizational Information Security Network Architecture</t>
  </si>
  <si>
    <t>Implement Information Security Network Architecture</t>
  </si>
  <si>
    <t>Establish Organizational Information Security Physical Security</t>
  </si>
  <si>
    <t>Implement Information Security Physical Security</t>
  </si>
  <si>
    <t>Establish Organizational Information Security Media Security</t>
  </si>
  <si>
    <t>Implement Information Security Media Security</t>
  </si>
  <si>
    <t>Purpose: Create criteria for evaluating and accepting risk based on what matters to the organization and potentially affected parties. Variations from this guidance are allowed. However, they must conform to the DoCRA principles and practices.</t>
  </si>
  <si>
    <t>Guidance</t>
  </si>
  <si>
    <t>Impact</t>
  </si>
  <si>
    <t>x</t>
  </si>
  <si>
    <t>Likelihood</t>
  </si>
  <si>
    <t>=</t>
  </si>
  <si>
    <t>Risk</t>
  </si>
  <si>
    <t>Threshold</t>
  </si>
  <si>
    <t>… therefore …</t>
  </si>
  <si>
    <t>Acceptable Risk</t>
  </si>
  <si>
    <t>&lt;</t>
  </si>
  <si>
    <t>Example</t>
  </si>
  <si>
    <t>Impact to Our Mission</t>
  </si>
  <si>
    <t>Operate profitably.</t>
  </si>
  <si>
    <t>1. Negligible</t>
  </si>
  <si>
    <t>Profits are on target.</t>
  </si>
  <si>
    <t>2. Acceptable</t>
  </si>
  <si>
    <t>Profits are off target, but are within planned variance.</t>
  </si>
  <si>
    <t>3. Unacceptable</t>
  </si>
  <si>
    <t>Profits are off planned variance and may take a fiscal year to recover.</t>
  </si>
  <si>
    <t>&lt; </t>
  </si>
  <si>
    <t>4. High</t>
  </si>
  <si>
    <t>Profits may take more than a fiscal year to recover.</t>
  </si>
  <si>
    <t>5. Catastrophic</t>
  </si>
  <si>
    <t>The organization cannot operate profitably.</t>
  </si>
  <si>
    <t>Impact Scores</t>
  </si>
  <si>
    <t>Foreseeability</t>
  </si>
  <si>
    <t>1 - Not Foreseeable</t>
  </si>
  <si>
    <t>2 - Foreseeable, not expected</t>
  </si>
  <si>
    <t>3 - Foreseeable, expected</t>
  </si>
  <si>
    <t>4 - Common</t>
  </si>
  <si>
    <t>5 - Continuous</t>
  </si>
  <si>
    <t>Acceptable Level of Risk &lt;</t>
  </si>
  <si>
    <t>Critical Level of Risk</t>
  </si>
  <si>
    <t>Not Foreseeable</t>
  </si>
  <si>
    <t>Foreseeable, not expected</t>
  </si>
  <si>
    <t>Foreseeable, expected</t>
  </si>
  <si>
    <t>Common</t>
  </si>
  <si>
    <t>Continuous</t>
  </si>
  <si>
    <t>Maturity Value</t>
  </si>
  <si>
    <t>Maturity Disp</t>
  </si>
  <si>
    <t>Likelihood Disp</t>
  </si>
  <si>
    <t>Lookup</t>
  </si>
  <si>
    <t>Count</t>
  </si>
  <si>
    <t>Max</t>
  </si>
  <si>
    <t>Avg</t>
  </si>
  <si>
    <t>Establish Organizational Information Security Governance</t>
  </si>
  <si>
    <t>Document Information Security policies and standards</t>
  </si>
  <si>
    <t>Implement Information Security Program</t>
  </si>
  <si>
    <t>Establish Organizational Information Security Audit &amp; Compliance</t>
  </si>
  <si>
    <t>Planning</t>
  </si>
  <si>
    <t>Implement Information Security Audit &amp; Compliance</t>
  </si>
  <si>
    <t>Establish Organizational Information Security Risk Assessment</t>
  </si>
  <si>
    <t>Implement Information Security Risk Assessment</t>
  </si>
  <si>
    <t>Establish Organizational Information Security Incident Response</t>
  </si>
  <si>
    <t>Implement Information Security Incident Response</t>
  </si>
  <si>
    <t>Establish Organizational Information Security Change Control</t>
  </si>
  <si>
    <t>Implement Information Security Change Control</t>
  </si>
  <si>
    <t>Establish Organizational Information Security Secure Application Development</t>
  </si>
  <si>
    <t>Establish Organizational Information Security Asset Management</t>
  </si>
  <si>
    <t>Establish Organizational Information Security Access Control</t>
  </si>
  <si>
    <t>Implement Information Security Access Control</t>
  </si>
  <si>
    <t>Establish Organizational Information Security Maintenance</t>
  </si>
  <si>
    <t>Establish Organizational Information Security Security Awareness</t>
  </si>
  <si>
    <t>Implement Information Security Security Awareness</t>
  </si>
  <si>
    <t>Establish Organizational Information Security HR Security</t>
  </si>
  <si>
    <t>Implement Information Security HR Security</t>
  </si>
  <si>
    <t>Control ID</t>
  </si>
  <si>
    <t>Control Name</t>
  </si>
  <si>
    <t>Control Description</t>
  </si>
  <si>
    <t>Is this Control Applicable to the ISMS Scope?</t>
  </si>
  <si>
    <t>Reason for Applicability</t>
  </si>
  <si>
    <t>Reason for Non-Applicability</t>
  </si>
  <si>
    <t>Is this control implemented?</t>
  </si>
  <si>
    <t>Date of Last Review</t>
  </si>
  <si>
    <t>Policy Reference</t>
  </si>
  <si>
    <t>A5.1.1</t>
  </si>
  <si>
    <t>Policies for information security</t>
  </si>
  <si>
    <t>A set of policies for information security shall be defined, approved by management, published and communicated to employees and
relevant external parties</t>
  </si>
  <si>
    <t>A5.1.2</t>
  </si>
  <si>
    <t>Review of the policies for information security</t>
  </si>
  <si>
    <t>The policies for information security shall be reviewed at planned intervals or if significant changes occur to ensure their continuing suitability, adequacy and effectiveness.</t>
  </si>
  <si>
    <t>A6.1.1</t>
  </si>
  <si>
    <t>Information security roles and responsibilities</t>
  </si>
  <si>
    <t>All information security responsibilities shall be defined and allocated.</t>
  </si>
  <si>
    <t>A6.1.2</t>
  </si>
  <si>
    <t>Segregation of duties</t>
  </si>
  <si>
    <t>Conflicting duties and areas of responsibility shall be segregated to reduce opportunities for unauthorized or unintentional modification or misuse of the organization's assets</t>
  </si>
  <si>
    <t>A6.1.3</t>
  </si>
  <si>
    <t>Contact with authorities</t>
  </si>
  <si>
    <t>Appropriate contacts with relevant authorities shall be maintained.</t>
  </si>
  <si>
    <t>A6.1.4</t>
  </si>
  <si>
    <t>Contact with special interest groups</t>
  </si>
  <si>
    <t>Appropriate contacts with special interest groups or other special- interest groups, forums and professional associations shall be maintained.</t>
  </si>
  <si>
    <t>A6.1.5</t>
  </si>
  <si>
    <t>Information security in project management</t>
  </si>
  <si>
    <t>Information security shall be addressed in project management, regardless of the type of the project.</t>
  </si>
  <si>
    <t>A6.2.1</t>
  </si>
  <si>
    <t>Mobile device policy</t>
  </si>
  <si>
    <t>A policy and supporting security measures shall be adopted to manage the risks introduced by using mobile devices.</t>
  </si>
  <si>
    <t>A6.2.2</t>
  </si>
  <si>
    <t>Teleworking</t>
  </si>
  <si>
    <t>A policy and supporting security measures shall be implemented to protect information accessed, processed or stored at teleworking sites.</t>
  </si>
  <si>
    <t>A7.1.1</t>
  </si>
  <si>
    <t>Screening</t>
  </si>
  <si>
    <t>Background verification checks on all candidates for employment shall be carried out in accordance with relevant laws, regulations and ethics and shall be proportional to the business requirements, the classification of the information to be accessed and the perceived risks.</t>
  </si>
  <si>
    <t>A7.1.2</t>
  </si>
  <si>
    <t>Terms and conditions of employment</t>
  </si>
  <si>
    <t>The contractual agreements with employees and contractors shall state their and the organization's responsibilities for information
security.</t>
  </si>
  <si>
    <t>A7.2.1</t>
  </si>
  <si>
    <t>Management responsibilities</t>
  </si>
  <si>
    <t>Management shall require all employees and contractors to apply information security in accordance with the established policies and procedures of the organization.</t>
  </si>
  <si>
    <t>A7.2.2</t>
  </si>
  <si>
    <t>Information security awareness, education and training</t>
  </si>
  <si>
    <t xml:space="preserve">All employees of the organization and, where relevant, contractors shall receive appropriate awareness education and training and regular updates in organizational policies and procedures, as relevant for their job function.
</t>
  </si>
  <si>
    <t>A7.2.3</t>
  </si>
  <si>
    <t xml:space="preserve">Disciplinary process </t>
  </si>
  <si>
    <t>There shall be a formal and communicated disciplinary process
in place to take action against employees who have committed an
information security breach.</t>
  </si>
  <si>
    <t>A7.3.1</t>
  </si>
  <si>
    <t>Termination or change of employment responsibilities</t>
  </si>
  <si>
    <t>Information security responsibilities and duties that remain valid after termination or change of employment shall be defined, communicated to the employee or contractor and enforced</t>
  </si>
  <si>
    <t>A8.1.1</t>
  </si>
  <si>
    <t>Inventory of assets</t>
  </si>
  <si>
    <t xml:space="preserve">Assets associated with information and information processing facilities shall be identified and an inventory of these assets shall be drawn up and maintained
</t>
  </si>
  <si>
    <t>A8.1.2</t>
  </si>
  <si>
    <t>Ownership of assets</t>
  </si>
  <si>
    <t>Assets maintained in the inventory shall be owned.</t>
  </si>
  <si>
    <t>A8.1.3</t>
  </si>
  <si>
    <t>Acceptable use of assets</t>
  </si>
  <si>
    <t>Rules for the acceptable use of information and of assets associated with information and information processing facilities shall be
identified, documented and implemented</t>
  </si>
  <si>
    <t>A8.1.4</t>
  </si>
  <si>
    <t xml:space="preserve">Return of assets </t>
  </si>
  <si>
    <t>All employees and external party users shall return all of the organizational assets in their possession upon termination of their employment, contract or agreement.</t>
  </si>
  <si>
    <t>A8.2.1</t>
  </si>
  <si>
    <t>Classification of information</t>
  </si>
  <si>
    <t xml:space="preserve">Information shall be classified in terms of legal requirements, value, criticality and sensitivity to authorized disclosure or modification. </t>
  </si>
  <si>
    <t>A8.2.2</t>
  </si>
  <si>
    <t>Labeling of information</t>
  </si>
  <si>
    <t>An appropriate set of procedures for information labelling shall be developed and implemented in accordance with the information
classification scheme adopted by the organization</t>
  </si>
  <si>
    <t>A8.2.3</t>
  </si>
  <si>
    <t>Handling of assets</t>
  </si>
  <si>
    <t>Procedures for handling assets shall be developed and implemented in accordance with the information classification scheme adopted by the organization</t>
  </si>
  <si>
    <t>A8.3.1</t>
  </si>
  <si>
    <t>Management of removable media</t>
  </si>
  <si>
    <t>Procedures shall be implemented for the management of removable media in accordance with the classification scheme adopted by the organization.</t>
  </si>
  <si>
    <t>A8.3.2</t>
  </si>
  <si>
    <t>Disposal of media</t>
  </si>
  <si>
    <t>Media shall be disposed of securely when no longer required, using formal procedures.</t>
  </si>
  <si>
    <t>A8.3.3</t>
  </si>
  <si>
    <t>Physical media transfer</t>
  </si>
  <si>
    <t>Media containing information shall be protected against unauthorized access, misuse or corruption during transportation</t>
  </si>
  <si>
    <t>A9.1.1</t>
  </si>
  <si>
    <t>Access control policy</t>
  </si>
  <si>
    <t>An access control policy shall be established, documented and reviewed based on business and information security requirements.</t>
  </si>
  <si>
    <t>A9.1.2</t>
  </si>
  <si>
    <t>Access to networks and network services</t>
  </si>
  <si>
    <t>Users shall only be provided with access to the network and network services that they have been specifically authorized to use</t>
  </si>
  <si>
    <t>A9.2.1</t>
  </si>
  <si>
    <t>User registration and deregistration</t>
  </si>
  <si>
    <t>A formal user registration and deregistration process shall be
implemented to enable assignment of access rights</t>
  </si>
  <si>
    <t>A9.2.2</t>
  </si>
  <si>
    <t>User access provisioning</t>
  </si>
  <si>
    <t>A formal user access provisioning process shall be implemented to assign or revoke access rights for all user types to all systems and services</t>
  </si>
  <si>
    <t>A9.2.3</t>
  </si>
  <si>
    <t>Management of privileged access rights</t>
  </si>
  <si>
    <t>The allocation and use of privileged access rights shall be restricted and controlled</t>
  </si>
  <si>
    <t>A9.2.4</t>
  </si>
  <si>
    <t>Management of secret authentication information of users</t>
  </si>
  <si>
    <t>The allocation of secret authentication information shall be controlled through a formal management process</t>
  </si>
  <si>
    <t>A9.2.5</t>
  </si>
  <si>
    <t>Review of user access rights</t>
  </si>
  <si>
    <t>Asset owners shall review users' access rights at regular intervals</t>
  </si>
  <si>
    <t>A9.2.6</t>
  </si>
  <si>
    <t>Removal or adjustment of access rights.</t>
  </si>
  <si>
    <t>The access rights of all employees and external party users to information and information processing facilities shall be removed upon termination of their employment, contract or agreement, or adjusted upon change.</t>
  </si>
  <si>
    <t>A9.3.1</t>
  </si>
  <si>
    <t>Use of secret authentication information</t>
  </si>
  <si>
    <t>Users shall be required to follow the organization's practices in the use of secret authentication information</t>
  </si>
  <si>
    <t>A9.4.1</t>
  </si>
  <si>
    <t>Information access restriction</t>
  </si>
  <si>
    <t>Access to information and application system functions shall be
restricted in accordance with the access control policy</t>
  </si>
  <si>
    <t>A9.4.2</t>
  </si>
  <si>
    <t>Secure log-on procedures</t>
  </si>
  <si>
    <t>Where required by the access control policy, access to systems and
applications shall be controlled by a secure log-on procedure.</t>
  </si>
  <si>
    <t>A9.4.3</t>
  </si>
  <si>
    <t>Password management system</t>
  </si>
  <si>
    <t>Password management systems shall be interactive and shall ensure quality passwords</t>
  </si>
  <si>
    <t>A9.4.4</t>
  </si>
  <si>
    <t>Use of privileged utility programs</t>
  </si>
  <si>
    <t>The use of utility programs that might be capable of overriding system and application controls shall be restricted and tightly controlled</t>
  </si>
  <si>
    <t>A9.4.5</t>
  </si>
  <si>
    <t>Access control to program source code</t>
  </si>
  <si>
    <t>Access to program source code shall be restricted.</t>
  </si>
  <si>
    <t>A10.1.1</t>
  </si>
  <si>
    <t>Policy on the use of cryptographic controls</t>
  </si>
  <si>
    <t>A policy on the use of cryptographic controls for protection of
information shall be developed and implemented</t>
  </si>
  <si>
    <t>A10.1.2</t>
  </si>
  <si>
    <t>Key management</t>
  </si>
  <si>
    <t>A policy on the use, protection and lifetime of cryptographic keys shall be developed and implemented through their whole lifecycle</t>
  </si>
  <si>
    <t>A11.1.1</t>
  </si>
  <si>
    <t>Physical security perimeter</t>
  </si>
  <si>
    <t>Security perimeters shall be defined and used to protect areas that contain either sensitive or critical information and information processing facilities</t>
  </si>
  <si>
    <t>A11.1.2</t>
  </si>
  <si>
    <t>Physical entry controls</t>
  </si>
  <si>
    <t xml:space="preserve">Secure areas shall be protected by appropriate entry controls to ensure that only authorized personnel are allowed access.
</t>
  </si>
  <si>
    <t>A11.1.3</t>
  </si>
  <si>
    <t>Securing offices, rooms and facilities</t>
  </si>
  <si>
    <t xml:space="preserve">Physical security for offices, rooms and facilities shall be designed and applied. </t>
  </si>
  <si>
    <t>A11.1.4</t>
  </si>
  <si>
    <t>Protecting against external and environmental threats</t>
  </si>
  <si>
    <t xml:space="preserve">Physical protection against natural disasters, malicious attack or
accidents shall be designed and applied.
</t>
  </si>
  <si>
    <t>A11.1.5</t>
  </si>
  <si>
    <t>Working in secure areas</t>
  </si>
  <si>
    <t xml:space="preserve">Procedures for working in secure areas shall be designed and applied.
</t>
  </si>
  <si>
    <t>A11.1.6</t>
  </si>
  <si>
    <t>Delivery and loading areas</t>
  </si>
  <si>
    <t>Access points such as delivery and loading areas and other points
areas unauthorized persons could enter the premises shall be
controlled and, if possible, isolated from information processing
facilities to avoid unauthorized access.</t>
  </si>
  <si>
    <t>A11.2.1</t>
  </si>
  <si>
    <t>Equipment siting and protection</t>
  </si>
  <si>
    <t>Equipment shall be sited and protected to reduce the risks from environmental threats and hazards, and opportunities for unauthorized access.</t>
  </si>
  <si>
    <t>A11.2.2</t>
  </si>
  <si>
    <t>Supporting utilities</t>
  </si>
  <si>
    <t>Equipment shall be protected from power failures and other disruptions caused by failures in supporting utilities.</t>
  </si>
  <si>
    <t>A11.2.3</t>
  </si>
  <si>
    <t>Cabling security</t>
  </si>
  <si>
    <t>Power and telecommunications cabling carrying data or supporting information services shall be protected from interception, interference or damage</t>
  </si>
  <si>
    <t>A11.2.4</t>
  </si>
  <si>
    <t>Equipment maintenance</t>
  </si>
  <si>
    <t>Equipment shall be correctly maintained to ensure its continued availability and integrity</t>
  </si>
  <si>
    <t>A11.2.5</t>
  </si>
  <si>
    <t>Removal of assets</t>
  </si>
  <si>
    <t>Equipment, information or software shall not be taken off-site without prior authorization</t>
  </si>
  <si>
    <t>A11.2.6</t>
  </si>
  <si>
    <t>Security of equipment and assets off premises</t>
  </si>
  <si>
    <t>Security shall be applied to off-site assets taking into account the different risks of working outside the organization's premises</t>
  </si>
  <si>
    <t>A11.2.7</t>
  </si>
  <si>
    <t>Secure disposal or re-use of equipment</t>
  </si>
  <si>
    <t>All items of equipment containing storage media shall be verified
to ensure that any sensitive data and licensed software has been
removed or securely overwritten prior to disposal or re-use.</t>
  </si>
  <si>
    <t>A11.2.8</t>
  </si>
  <si>
    <t>Unattended user equipment</t>
  </si>
  <si>
    <t>Users shall ensure that unattended equipment has appropriate protection.</t>
  </si>
  <si>
    <t>A11.2.9</t>
  </si>
  <si>
    <t>Clear desk and clear screen policy</t>
  </si>
  <si>
    <t>A clear desk policy for papers and removable storage media and a clear screen policy for information processing facilities shall be
adopted</t>
  </si>
  <si>
    <t>A12.1.1</t>
  </si>
  <si>
    <t>Documented operating procedures</t>
  </si>
  <si>
    <t xml:space="preserve">Operating procedures shall be documented and made available to
all users who need them
</t>
  </si>
  <si>
    <t>A12.1.2</t>
  </si>
  <si>
    <t>Change management</t>
  </si>
  <si>
    <t>Changes to the organization, business processes, information processing facilities and systems that affect information security shall be controlled.</t>
  </si>
  <si>
    <t>A12.1.3</t>
  </si>
  <si>
    <t>Capacity management</t>
  </si>
  <si>
    <t xml:space="preserve">The use of resources shall be monitored, tuned and projections t made of future capacity requirements to ensure the required system performance.
</t>
  </si>
  <si>
    <t>A12.1.4</t>
  </si>
  <si>
    <t>Separation of development, testing and operational environments</t>
  </si>
  <si>
    <t>Development, testing, and operational environments shall be separated to reduce the risks of unauthorized access or changes to the operational environment</t>
  </si>
  <si>
    <t>A12.2.1</t>
  </si>
  <si>
    <t>Controls against malware</t>
  </si>
  <si>
    <t>Detection, prevention and recovery controls to protect against malware shall be implemented, combined with appropriate user awareness</t>
  </si>
  <si>
    <t>A12.3.1</t>
  </si>
  <si>
    <t>Information backup</t>
  </si>
  <si>
    <t>Backup copies of information, software and system images shall be taken and tested regularly in accordance with an agreed backup
policy</t>
  </si>
  <si>
    <t>A12.4.1</t>
  </si>
  <si>
    <t>Event logging</t>
  </si>
  <si>
    <t>Event logs recording user activities, exceptions, faults and information security events shall be produced, kept and regularly reviewed</t>
  </si>
  <si>
    <t>A12.4.2</t>
  </si>
  <si>
    <t>Protection of log information</t>
  </si>
  <si>
    <t>Logging facilities and log information shall be protected against tampering and unauthorized access</t>
  </si>
  <si>
    <t>A12.4.3</t>
  </si>
  <si>
    <t>Administrator and operator logs</t>
  </si>
  <si>
    <t>System administrator and system operator activities shall be logged and the logs protected and regularly reviewed</t>
  </si>
  <si>
    <t>A12.4.4</t>
  </si>
  <si>
    <t>Clock synchronization</t>
  </si>
  <si>
    <t xml:space="preserve">The clocks of all relevant information processing systems within an organization or security domain shall be synchronized to a single
reference time source. </t>
  </si>
  <si>
    <t>A12.5.1</t>
  </si>
  <si>
    <t>Installation of software on operational systems</t>
  </si>
  <si>
    <t>Procedures shall be implemented to control the installation of software on operational systems</t>
  </si>
  <si>
    <t>A12.6.1</t>
  </si>
  <si>
    <t>Management of technical vulnerabilities</t>
  </si>
  <si>
    <t>Information about technical vulnerabilities of information systems being used shall be obtained in a timely fashion, the organization's
exposure to such vulnerabilities evaluated and appropriate measures taken to address the associated risk</t>
  </si>
  <si>
    <t>A12.6.2</t>
  </si>
  <si>
    <t>Restrictions on software installations</t>
  </si>
  <si>
    <t>Rules governing the installation of software by users shall be established and implemented</t>
  </si>
  <si>
    <t>A12.7.1</t>
  </si>
  <si>
    <t>Information systems audit controls</t>
  </si>
  <si>
    <t>Audit requirements and activities involving verification of operational systems shall be carefully planned and agreed to minimize disruptions to business processes</t>
  </si>
  <si>
    <t>A13.1.1</t>
  </si>
  <si>
    <t>Network controls</t>
  </si>
  <si>
    <t>Networks shall be managed and controlled to protect information in systems and applications.</t>
  </si>
  <si>
    <t>A13.1.2</t>
  </si>
  <si>
    <t>Security of network services</t>
  </si>
  <si>
    <t>Security mechanisms, service levels and management requirements of all network services shall be identified and included in network services agreements, whether these services are provided in-house or outsourced</t>
  </si>
  <si>
    <t>A13.1.3</t>
  </si>
  <si>
    <t>Segregation in networks</t>
  </si>
  <si>
    <t>Groups of information services, users and information systems shall be segregated on networks</t>
  </si>
  <si>
    <t>A13.2.1</t>
  </si>
  <si>
    <t>Information transfer policies and procedures</t>
  </si>
  <si>
    <t>Formal transfer policies, procedures and controls shall be in place to protect the transfer of information through the use of all types of communication facilities</t>
  </si>
  <si>
    <t>A13.2.2</t>
  </si>
  <si>
    <t>Agreements on information transfer</t>
  </si>
  <si>
    <t>Agreements shall address the secure transfer of business information between the organization and external parties</t>
  </si>
  <si>
    <t>A13.2.3</t>
  </si>
  <si>
    <t>Electronic messaging</t>
  </si>
  <si>
    <t>Information involved in electronic messaging shall be appropriately protected</t>
  </si>
  <si>
    <t>A13.2.4</t>
  </si>
  <si>
    <t>Confidentiality or non-disclosure agreements</t>
  </si>
  <si>
    <t>Requirements for confidentiality or non-disclosure agreements reflecting the organization's needs for the protection of information shall be identified, regularly reviewed and documented</t>
  </si>
  <si>
    <t>A14.1.1</t>
  </si>
  <si>
    <t>Information security requirements analysis and specifications</t>
  </si>
  <si>
    <t>The information security related requirements shall be included in the requirements for new information systems or enhancements to existing information systems.</t>
  </si>
  <si>
    <t>A14.1.2</t>
  </si>
  <si>
    <t>Securing application services on public networks</t>
  </si>
  <si>
    <t>Information involved in application services passing over public networks shall be protected from fraudulent activity, contract dispute and unauthorized disclosure and modification</t>
  </si>
  <si>
    <t>A14.1.3</t>
  </si>
  <si>
    <t>Protecting application services transactions</t>
  </si>
  <si>
    <t>Information involved in application service transactions shall be protected to prevent incomplete transmission, misrouting, unauthorized message alteration, unauthorized disclosure, unauthorized message duplication or replay</t>
  </si>
  <si>
    <t>A14.2.1</t>
  </si>
  <si>
    <t>Secure development policy</t>
  </si>
  <si>
    <t>Rules for the development of software and systems shall be established and applied to developments within the organization</t>
  </si>
  <si>
    <t>A14.2.2</t>
  </si>
  <si>
    <t>System change control procedures</t>
  </si>
  <si>
    <t>Changes to systems within the development lifecycle shall be con-
trolled by the use of formal change control procedures</t>
  </si>
  <si>
    <t>A14.2.3</t>
  </si>
  <si>
    <t>Technical review of applications after performing platform changes</t>
  </si>
  <si>
    <t>When operating platforms are changed, business critical applications shall be reviewed and tested to ensure there is no adverse impact on organizational operations or security</t>
  </si>
  <si>
    <t>A14.2.4</t>
  </si>
  <si>
    <t>Restrictions on changes to software packages</t>
  </si>
  <si>
    <t>Modifications to software packages shall be discouraged, limited to necessary changes and all changes shall be strictly controlled</t>
  </si>
  <si>
    <t>A14.2.5</t>
  </si>
  <si>
    <t>Secure system engineering principles</t>
  </si>
  <si>
    <t>Principles for engineering secure systems shall be established, documented, maintained and applied to any information system implementation efforts</t>
  </si>
  <si>
    <t>A14.2.6</t>
  </si>
  <si>
    <t>Secure development environment</t>
  </si>
  <si>
    <t>Organizations shall establish and appropriately protect secure development environments for system development and integration efforts that cover the entire system development lifecycle</t>
  </si>
  <si>
    <t>A14.2.7</t>
  </si>
  <si>
    <t>Outsourced development</t>
  </si>
  <si>
    <t>The organization shall supervise and monitor the activity of outsourced system development</t>
  </si>
  <si>
    <t>A14.2.8</t>
  </si>
  <si>
    <t>System security testing</t>
  </si>
  <si>
    <t>Testing of security functionality shall be carried out during development</t>
  </si>
  <si>
    <t>A14.2.9</t>
  </si>
  <si>
    <t>System acceptance testing</t>
  </si>
  <si>
    <t>Acceptance testing programs and related criteria shall be established for new information systems, upgrades and new versions</t>
  </si>
  <si>
    <t>A14.3.1</t>
  </si>
  <si>
    <t>Protection of test data</t>
  </si>
  <si>
    <t>Test data shall be selected carefully, protected and controlled.</t>
  </si>
  <si>
    <t>A15.1.1</t>
  </si>
  <si>
    <t>Information security policy for supplier relationships.</t>
  </si>
  <si>
    <t>Information security requirements for mitigating the risks associated with the supplier's access to the organization's assets shall be agreed with the supplier and documented.</t>
  </si>
  <si>
    <t>A15.1.2</t>
  </si>
  <si>
    <t>Addressing security within supplier agreements</t>
  </si>
  <si>
    <t>All relevant information security requirements shall be established
and agreed with each supplier that may access, process, store, communicate, or provide IT infrastructure components for the organization's information</t>
  </si>
  <si>
    <t>A15.1.3</t>
  </si>
  <si>
    <t>Information and communication technology supply chain</t>
  </si>
  <si>
    <t>Agreements with suppliers shall include requirements to address the information security risks associated with information and
communications technology services and product supply chain</t>
  </si>
  <si>
    <t>A15.2.1</t>
  </si>
  <si>
    <t>Monitoring and review of supplier services</t>
  </si>
  <si>
    <t>Organizations shall regularly monitor, review and audit supplier service delivery.</t>
  </si>
  <si>
    <t>A15.2.2</t>
  </si>
  <si>
    <t>Managing changes to supplier services</t>
  </si>
  <si>
    <t>Changes to the provision of services by suppliers, including maintaining and improving existing information security policies, procedures and controls, shall be managed, taking account of the criticality of business information, systems and processes involved and re-assessment of risks.</t>
  </si>
  <si>
    <t>A16.1.1</t>
  </si>
  <si>
    <t>Responsibilities and procedures</t>
  </si>
  <si>
    <t>Management responsibilities and procedures shall be established to ensure a quick, effective and orderly response to information
security incidents.</t>
  </si>
  <si>
    <t>A16.1.2</t>
  </si>
  <si>
    <t>Reporting information security events</t>
  </si>
  <si>
    <t>Information security events shall be reported through appropriate
management channels as quickly as possible</t>
  </si>
  <si>
    <t>A16.1.3</t>
  </si>
  <si>
    <t>Reporting information security weaknesses</t>
  </si>
  <si>
    <t>Employees and contractors using the organization's information systems and services shall be required to note and report any observed or suspected information security weaknesses in systems or services</t>
  </si>
  <si>
    <t>A16.1.4</t>
  </si>
  <si>
    <t>Assessment of and decision on information security events</t>
  </si>
  <si>
    <t>Information security events shall be assessed and it shall be decided if they are to be classified as information security incidents</t>
  </si>
  <si>
    <t>A16.1.5</t>
  </si>
  <si>
    <t>Response to information security incidents</t>
  </si>
  <si>
    <t>Information security incidents shall be responded to in accordance
with the documented procedures</t>
  </si>
  <si>
    <t>A16.1.6</t>
  </si>
  <si>
    <t>Learning from information security incidents</t>
  </si>
  <si>
    <t>Knowledge gained from analyzing and resolving information security incidents shall be used to reduce the likelihood or impact of future incidents</t>
  </si>
  <si>
    <t>A16.1.7</t>
  </si>
  <si>
    <t>Collection of evidence</t>
  </si>
  <si>
    <t>The organization shall define and apply procedures for the identification, collection, acquisition and preservation of information,
which can serve as evidence</t>
  </si>
  <si>
    <t>A17.1.1</t>
  </si>
  <si>
    <t>Planning information security continuity</t>
  </si>
  <si>
    <t>The organization shall determine its requirements for information security and the continuity of information security management in adverse situations, e.g. during a crisis or disaster.</t>
  </si>
  <si>
    <t>A17.1.2</t>
  </si>
  <si>
    <t>Implementing information security continuity</t>
  </si>
  <si>
    <t>The organization shall establish, document, implement and maintain processes, procedures and controls to ensure the required level of continuity for information security during an adverse situation.</t>
  </si>
  <si>
    <t>A17.1.3</t>
  </si>
  <si>
    <t>Verify, review and evaluate information security continuity</t>
  </si>
  <si>
    <t>The organization shall verify the established and implemented information security continuity controls at regular intervals in order to ensure that they are valid and effective during adverse
situations.</t>
  </si>
  <si>
    <t>A17.2.1</t>
  </si>
  <si>
    <t>Availability of information processing facilities</t>
  </si>
  <si>
    <t>Information facilities shall be implemented with redundancy sufficient to meet availability requirements</t>
  </si>
  <si>
    <t>A18.1.1</t>
  </si>
  <si>
    <t>Identification of applicable legislation and contractual requirements</t>
  </si>
  <si>
    <t>All relevant legislative statutory, regulatory, contractual requirements and the organization's approach to meet these requirements shall be explicitly identified, documented and kept up to date for each information system and the organization</t>
  </si>
  <si>
    <t>A18.1.2</t>
  </si>
  <si>
    <t>Intellectual property rights</t>
  </si>
  <si>
    <t>Appropriate procedures shall be implemented to ensure compliance with legislative, regulatory and contractual requirements related to intellectual property rights and use of proprietary software products.</t>
  </si>
  <si>
    <t>A18.1.3</t>
  </si>
  <si>
    <t>Protection of records</t>
  </si>
  <si>
    <t>Records shall be protected from loss, destruction, falsification, unauthorized access and unauthorized release, in accordance with legislatory, regulatory, contractual and business requirements.</t>
  </si>
  <si>
    <t>A18.1.4</t>
  </si>
  <si>
    <t>Privacy and protection of personally identifiable information</t>
  </si>
  <si>
    <t>Privacy and protection of personally identifiable information shall be ensured as required in relevant legislation and regulation where applicable.</t>
  </si>
  <si>
    <t>A18.1.5</t>
  </si>
  <si>
    <t>Regulation of cryptographic controls</t>
  </si>
  <si>
    <t>Cryptographic controls shall be used in compliance with all relevant agreements, legislation and regulations</t>
  </si>
  <si>
    <t>A18.2.1</t>
  </si>
  <si>
    <t>Independent review of information security</t>
  </si>
  <si>
    <t>The organization's approach to managing information security and its implementation (i.e. control objectives, controls, policies, processes and procedures for information security) shall be reviewed independently at planned intervals or when significant changes occur.</t>
  </si>
  <si>
    <t>A18.2.2</t>
  </si>
  <si>
    <t>Compliance with security policies and standards</t>
  </si>
  <si>
    <t>Managers shall regularly review the compliance of information processing and procedures within their area of responsibility with the appropriate security policies, standards and any other security requirements.</t>
  </si>
  <si>
    <t>A18.2.3</t>
  </si>
  <si>
    <t>Technical compliance review</t>
  </si>
  <si>
    <t>Information systems shall be regularly reviewed for compliance with the organization's information security policies and standards.</t>
  </si>
  <si>
    <t>4.1</t>
  </si>
  <si>
    <t>Understanding the organization and its context</t>
  </si>
  <si>
    <t xml:space="preserve">The organization shall determine external and internal issues that are relevant to its purpose and that affect its ability to achieve the intended outcome(s) of its information security management system.
</t>
  </si>
  <si>
    <t>4.2</t>
  </si>
  <si>
    <t>Understanding the needs and expectations of interested parties</t>
  </si>
  <si>
    <t>The organization shall determine:
 a) interested parties that are relevant to the information security management system; and 
 b) the requirements of these interested parties relevant to information security.</t>
  </si>
  <si>
    <t>4.3</t>
  </si>
  <si>
    <t>Determining the scope of the information security management system</t>
  </si>
  <si>
    <t>The scope shall be available as documented information.
When determining this scope, the organization shall consider:
 a) the external and internal issues referred to in 4.1 and 
 b) the requirements referred to in.4.2 and
 c) interfaces and dependencies between activities performed by the organization, and those that are performed by other organizations.</t>
  </si>
  <si>
    <t>4.4</t>
  </si>
  <si>
    <t>Information security management system</t>
  </si>
  <si>
    <t>The organization shall establish, implement, maintain and continually improve an information security management system, in accordance with the requirements of this International Standard.</t>
  </si>
  <si>
    <t>5.1</t>
  </si>
  <si>
    <t>Leadership and commitment</t>
  </si>
  <si>
    <t>Top management shall demonstrate  leadership and  commitment with  respect  to the  information security management system by:
 a) ensuring the information security policy and the information security objectives are established and are compatible with the strategic direction of the organization;
 b) ensuring the integration of the information security management system requirements  into the organization's processes;
 c) ensuring that the resources needed for the information security management system are available;
 d) communicating the importance of effective information security management and of conforming to the information security management system requirements;
 e) ensuring that the information security management system achieves its intended outcome(s);
 f) directing and supporting persons to contribute to the effectiveness of the information security management system;
 g) promoting continual improvement; and
 h) supporting other relevant management roles to demonstrate their leadership as it applies to their areas of responsibility</t>
  </si>
  <si>
    <t>5.2</t>
  </si>
  <si>
    <t>Policy</t>
  </si>
  <si>
    <t>Top management shall establish an information security policy that:
 a) is appropriate to the purpose of the organization;
 b) includes information security objectives (see 6.2) or provides the framework for setting information security objectives;
 c) includes a commitment to satisfy applicable requirements related to information security; and
 d) includes a commitment to continual improvement of the information security management system. 
The information security policy shall:
 e) be available as documented information
 f) be communicated within the organization; and
 g) be available to interested parties, as appropriate.</t>
  </si>
  <si>
    <t>5.3</t>
  </si>
  <si>
    <t>Organizational roles, responsibilities and authorities</t>
  </si>
  <si>
    <t>Top management shall ensure that the responsibilities and authorities for roles relevant to information security are assigned and communicated.
Top management shall asign the responsibility and authority for:
 a) ensuring that the information security management system conforms to the requirements of this International Standard; and
 b) reporting on the performance of the information security management system to top management.
NOTE: Top management may also assign responsibilities and authorities for reporting performance of the information security management system within the organization</t>
  </si>
  <si>
    <t>6.1.1</t>
  </si>
  <si>
    <t>Actions to address risks and opportunities - General</t>
  </si>
  <si>
    <t>When planning for the information security management system, the organization shall consider the issues referred to in 4.1 and the requirements referred to in 4.2 and determine the risks and opportunities that need to be addressed to:
 a) ensure the information security management system can achieve its intended outcome(s);
 b) prevent, or reduce, undesired effects; and 
 c) achieve continual improvement.
The organization shall plan:
 d) actions to address these risks and opportunities; and
 e) how to 
    1)   integrate  and  implement the  actions  into  its  information  security  management  system processes; and
    2)   evaluate the effectiveness of these actions.</t>
  </si>
  <si>
    <t>6.1.2</t>
  </si>
  <si>
    <t>Actions to address risks and opportunities - Information security risk assessment</t>
  </si>
  <si>
    <t>The organization shall define and apply an information security risk assessment process that:
 a) establishes and maintains information security risk criteria that include:
    1) the risk acceptance criteria; and
    2) criteria for performing information security risk assessments;
 b) ensures  that  repeated  information  security  risk  assessments  produce consistent,  valid and comparable results;
 c) identifies the information security risks:
    1) apply the information security risk assessment process to identify risks associated with the loss of confidentiality, integrity and availability for information within the scope of the information security management system; and
    2) identify the risk owners;
 d) analyses the information security risks:
    1) assess the potential consequences that would result if the risks identified in 6.1.2 c) 1) were to materialize
    2) assess the realistic likelihood of the occurrence of the risks identified in 6.1.2 c) 1); and
    3) determine the levels of risk;
 e) evaluates the information security risks:
    1) compare the results of risk analysis with the risk criteria established in 6.1.2 a); and
    2) prioritize the analyzed risks for risk treatment.
The  organization   shall  retain   documented  information   about  the  information   security   risk assessment process.</t>
  </si>
  <si>
    <t>6.1.3</t>
  </si>
  <si>
    <t>Information security risk treatment</t>
  </si>
  <si>
    <t>The organization shall define and apply an information security risk treatment process to:
 a) select  appropriate   information  security  risk  treatment   options,  taking  account  of the  risk assessment results;
 b) determine all controls that are necessary to implement the information security risk treatment option(s) chosen;
NOTE: Organizations can design controls as required, or identify them from any source.
 c) compare the controls determined in 6.1.3.b) above with those in Annex A and verify that no necessary controls have been omitted;
NOTE 1: Annex A contains a comprehensive list ofcontrol objectives and controls. Users ofthis International Standard are directed to Annex A to ensure that no necessary controls are overlooked.
NOTE 2: Control objectives are implicitly included in the  controls chosen. The control objectives and controls listed in Annex A are not exhaustive and additional control objectives and controls may be needed.
 d) produce a Statement of Applicability that contains the necessary controls (see.6.1.b3). and c)) and justification for inclusions, whether they are implemented or not, and the justification for exclusions of controls from Annex A;
 e) formulate an information security risk treatment plan; and
 f) obtain risk owners' approval of the information security risk treatment plan and acceptance of the residual information security risks.
The organization shall retain documented information about the information security risk treatment process.</t>
  </si>
  <si>
    <t>6.2</t>
  </si>
  <si>
    <t>Information security objectives and planning to achieve them</t>
  </si>
  <si>
    <t>The organization shall establish information security objectives at relevant functions and levels. 
The information security objectives shall:
 a) be consistent with the information security policy;
 b) be measurable (if practicable);
 c) take into account applicable information security requirements, and results from risk assessment and risk treatment;
 d) be communicated; and
 e) be updated as appropriate.
The organization shall retain documented information on the information security objectives.
When planning how to achieve its information security objectives, the organization shall determine:
 f) what will be done;
 g) what resources will be required;
 h) who will be responsible;
 i) when it will be completed; and
 j) how the results will be evaluated.</t>
  </si>
  <si>
    <t>7.1</t>
  </si>
  <si>
    <t>Resources</t>
  </si>
  <si>
    <t>The organization shall determine and provide the resources needed for the establishment, implementation, maintenance and continual improvement of the information security management system.</t>
  </si>
  <si>
    <t>7.2</t>
  </si>
  <si>
    <t>Competence</t>
  </si>
  <si>
    <t>The organization shall;
 a) determine the necessary competence of person(s) doing work under its control that affects its information security performance;
 b) ensure that these persons are competent on the basis of appropriate education, training, or experience;
 c) where applicable, take actions to acquire the necessary competence, and evaluate the effectiveness of the actions taken; and
 d) retain appropriate documented information as evidence of competence.
NOTE - Applicable actions may include, for example: the provision of training to, the mentoring of, or the reassignment of current employees; or the hiring or contracting of competent persons.</t>
  </si>
  <si>
    <t>7.3</t>
  </si>
  <si>
    <t>Awareness</t>
  </si>
  <si>
    <t>Persons doing work under the organization's control shall be aware of:
 a) the information security policy;
 b) their contribution to the effectiveness of the information security management system, including the benefits of improved information security performance; and
 c) the implications of not conforming with the information security management system requirements.</t>
  </si>
  <si>
    <t>7.4</t>
  </si>
  <si>
    <t>Communication</t>
  </si>
  <si>
    <t>The organization shall determine the need for internal and external communications relevant to the information security management system including:
 a) on what to communicate;
 b) when to communicate;
 c) with whom to communicate;
 d) who shall communicate, and;
 e) the process by which communication shall be effected.</t>
  </si>
  <si>
    <t>Documented Information</t>
  </si>
  <si>
    <t>Documented information of external  origin,  determined  by the  organization  to be necessary  for the planning and operation of the information security management system, shall be identified as appropriate, and controlled. 
NOTE - Access implies a decision regarding the permission to view the documented information only, or the permission and authority to view and change the documented information, etc.</t>
  </si>
  <si>
    <t>7.5.1</t>
  </si>
  <si>
    <t>General</t>
  </si>
  <si>
    <t>The organization's information security management system shall include:
 a) documented information required by this International Standard; and
 b) documented information determined by the organization as being necessary for the effectiveness of the information security management system.
NOTE - The extent of documented information for an information security management system can differ from one organization to another due to:
    1)   the size of organization and its type of activities, processes, products and services;
    2)   the complexity of processes and their interactions; and
    3)   the competence of persons.</t>
  </si>
  <si>
    <t>7.5.2</t>
  </si>
  <si>
    <t>Creating and updating</t>
  </si>
  <si>
    <t>When creating and updating documented information the organization shall ensure appropriate:
 a) identification and description (e.g. title, date, author, or reference number);
 b) format (e.g. Language, software version, graphics) and media (e.g. Paper, electronic); and 
 c) review and approval for suitability and adequacy.</t>
  </si>
  <si>
    <t>7.5.3</t>
  </si>
  <si>
    <t>Control of documented information</t>
  </si>
  <si>
    <t>Documented information required  by the  information  security  management system  and  by this International Standard shall be controlled to ensure:
 a) it is available and suitable for use, where and when it is needed; and
 b) it is adequately protected (e.g. from loss of confidentiality, improper use, or loss of integrity).
For the control of documented information, the organization shall address the following activities, as applicable:
 c) distribution, access, retrieval and use;
 d) storage and preservation, including the preservation of legibility;
 e) control of changes (e.g. version control); and
 f) retention and disposition.</t>
  </si>
  <si>
    <t>8.1</t>
  </si>
  <si>
    <t>Organizational planning and control</t>
  </si>
  <si>
    <t xml:space="preserve">The organization shall plan, implement and control the processes needed to meet information security requirements, and to implement the actions determined in 6.1. The organization shall also implement plans to achieve information security objectives determined in 6.2.
The organization shall keep documented information to the extent necessary to have confidence that the processes have been carried out as planned.
The organization shall control planned changes and review the consequences of unintended changes, taking action to mitigate any adverse effects, as necessary.
The organization shall ensure that outsourced processes are determined and controlled.
</t>
  </si>
  <si>
    <t>8.2</t>
  </si>
  <si>
    <t>Information security risk assessment</t>
  </si>
  <si>
    <t>The organization shall perform information security risk assessments at planned intervals or when significant changes are proposed or occur, taking account of the criteria established in 6.1.2 a).
The organization  shall retain  documented  information  of the results  of the information  security risk assessment.</t>
  </si>
  <si>
    <t>8.3</t>
  </si>
  <si>
    <t xml:space="preserve">The organization shall implement the information security risk treatment plan.
The organization  shall retain  documented  information  of the results  of the information  security risk treatment.
</t>
  </si>
  <si>
    <t>9.1</t>
  </si>
  <si>
    <t>Monitoring measurement analysis and evaluation</t>
  </si>
  <si>
    <t>The organization shall evaluate the information security performance and the effectiveness of the information security management system.
The organization shall determine:
 a) what needs to be monitored and measured, including information security processes and controls;
 b) the  methods   for  monitoring,   measurement,     analysis   and  evaluation,   as  applicable,   to  ensure valid  results;
 NOTE - The methods selected should produce comparable and reproducible results to be considered valid.
 c) when the monitoring  and measuring  shall be performed;
 d) who shall monitor  and measure;
 e) when the results  from monitoring  and measurement   shall be analyzed  and evaluated;  and 
 f) who shall analyze  and evaluate  these  results.
The organization shall retain appropriate documented information as evidence of the monitoring and measurement results.</t>
  </si>
  <si>
    <t>9.2</t>
  </si>
  <si>
    <t>Internal audit</t>
  </si>
  <si>
    <t>The organization   shall conduct  internal  audits  at planned  intervals  to provide  information   on whether the information   security  management  system:
 a) conforms to
    1) the organization's   own requirements   for its information  security  management   system;  and
    2) the requirements   of this  International   Standard;
 b) is effectively implemented and maintained.
The organization shall:
 c) plan, establish,  implement  and maintain  an audit programme(s),   including the frequency,  methods, responsibilities, planning   requirements    and  reporting.    The  audit  programme(s)    shall  take  into consideration   the importance   of the processes  concerned  and the results  of previous  audits;
 d) define the audit criteria  and scope for each audit;
 e) select auditors  and conduct  audits  that  ensure  objectivity  and the impartiality   of the audit process;
 f) ensure  that the results  of the audits  are reported   to relevant  management;  and
 g) retain  documented   information  as evidence  of the audit programme(s)   and the audit results.</t>
  </si>
  <si>
    <t>9.3</t>
  </si>
  <si>
    <t>Management review</t>
  </si>
  <si>
    <t>Top management   shall review  the organization's   information   security  management   system  at planned intervals  to ensure  its continuing  suitability,  adequacy  and effectiveness.
The management   review  shall include consideration   of:
 a) the status  of actions  from previous  management   reviews;
 b) changes  in external  and internal  issues  that  are relevant  to the information   security  management system;
 c) feedback  on the information  security  performance,   including trends  in:
    1) nonconformities   and corrective  actions;
    2) monitoring  and measurement   results;
    3) audit results;  and
    4) fulfilment  of information  security  objectives;
 d) feedback  from interested   parties;
 e) results  of risk assessment  and status  of risk treatment   plan; and 
 f) opportunities   for continual  improvement
The  outputs   of the  management   review   shall  include  decisions   related   to  continual   improvement opportunities   and any needs  for changes  to the information  security  management  system.
The organization  shall retain  documented  information  as evidence of the results  of management  reviews.</t>
  </si>
  <si>
    <t>10.1</t>
  </si>
  <si>
    <t>Nonconformity and corrective action</t>
  </si>
  <si>
    <t>When a nonconformity   occurs, the organization   shall:
 a) react to the nonconformity,  and as applicable:
    1) take action to control  and correct  it; and
    2) deal with the consequences;
 b) evaluate  the need for action to eliminate  the causes of nonconformity,  in order that it does not recur or occur elsewhere,  by:
    1) reviewing  the nonconformity
    2) determining   the causes of the nonconformity;   and
    3) determining   if similar  nonconformities   exist, or could potentially  occur;
 c) implement any action needed
 d) review the effectiveness  of any corrective  action taken;  and
 e) make changes  to the information  security  management  system,  if necessary.
Corrective  actions  shall be appropriate   to the effects  of the nonconformities   encountered. The organization   shall retain  documented   information   as evidence  of:
 f) the nature  of the nonconformities   and any subsequent   actions  taken,  and 
 g) the results  of any corrective  action.</t>
  </si>
  <si>
    <t>10.2</t>
  </si>
  <si>
    <t>Continual improvement</t>
  </si>
  <si>
    <t>The organization  shall continually  improve the suitability,  adequacy  and effectiveness  of the information security  management  system</t>
  </si>
  <si>
    <t>Physical Facility</t>
  </si>
  <si>
    <t>Point of Sale</t>
  </si>
  <si>
    <t>Common Security Programs</t>
  </si>
  <si>
    <t>Value</t>
  </si>
  <si>
    <t>Standards</t>
  </si>
  <si>
    <t>Assigned</t>
  </si>
  <si>
    <t>CIS CSC v7</t>
  </si>
  <si>
    <t>PCI DSS v3.2</t>
  </si>
  <si>
    <t>Operations</t>
  </si>
  <si>
    <t>In Place</t>
  </si>
  <si>
    <t>HIPAA Security Rule</t>
  </si>
  <si>
    <t>NIST CSF (800-171)</t>
  </si>
  <si>
    <t>Maturity</t>
  </si>
  <si>
    <t>Maturiy Disp</t>
  </si>
  <si>
    <t>Average Risk</t>
  </si>
  <si>
    <t>Headless Devices</t>
  </si>
  <si>
    <t>Cloud Services</t>
  </si>
  <si>
    <t>Appliances</t>
  </si>
  <si>
    <t>HIT Weight Distribution Index</t>
  </si>
  <si>
    <t>HIT Quintile</t>
  </si>
  <si>
    <t>HIT Threat Cluster
What type of threat is might this control detect or prevent?</t>
  </si>
  <si>
    <t>How likely is it that this threat will create a negative impact?
HIT Propensity Score x Likelihood of Control Failure with Safeguard in Place Score
See Risk Assessment Criteria</t>
  </si>
  <si>
    <t>How likely is it that this threat will create a negative impact?
HIT Propensity Score is used to increase or decrease the Likelihood of Control Failure, based on historical breach data.</t>
  </si>
  <si>
    <t>Percentage</t>
  </si>
  <si>
    <t>POS</t>
  </si>
  <si>
    <t>Number of Incidents</t>
  </si>
  <si>
    <t>SOC 2</t>
  </si>
  <si>
    <t>FBI CJIS</t>
  </si>
  <si>
    <t>Sum</t>
  </si>
  <si>
    <t>Sum Cur</t>
  </si>
  <si>
    <t>Tgt Max</t>
  </si>
  <si>
    <t>Tgt Avg</t>
  </si>
  <si>
    <t>Tgt Sum</t>
  </si>
  <si>
    <t>Dif Max</t>
  </si>
  <si>
    <t>Dif Avg</t>
  </si>
  <si>
    <t>Dif Sum</t>
  </si>
  <si>
    <t>Establish Organizational Information Security Systems Management</t>
  </si>
  <si>
    <t>Implement Information Security Systems Management</t>
  </si>
  <si>
    <t>Establish Organizational Information Security Network Device Management</t>
  </si>
  <si>
    <t>Implement Information Security Network Device Management</t>
  </si>
  <si>
    <t>Establish Organizational Information Security Application Management</t>
  </si>
  <si>
    <t>Implement Information Security Application Management</t>
  </si>
  <si>
    <t>System Management</t>
  </si>
  <si>
    <t>Network Device Management</t>
  </si>
  <si>
    <t>Application Management</t>
  </si>
  <si>
    <t xml:space="preserve">Ensure that organizational guidance (policies, charters, etc.) establishes the basis for Information Security Governance:
 * establish the high level information security requirements, including organizational structure, interested parties, leadership participation, etc.;
 * associate organizational directives (Mission, Objectives, Obligations) to the Information Security Program;
 * establish expectations for executive and/or board level communication and reporting;
 * review, update, and approval of Information Security Program documentation; and
 * communication of Information Security Program policies and processes.
</t>
  </si>
  <si>
    <t>Formalize the documentation required for the Information Security Program. Account for the:
 * establishment of requisite groups or committees; 
 * official documents required by executive management and/or regulations and standards, 
 * Information Security Program roles and responsibilities; and 
 * processes for the management of Information Security Program documentation.</t>
  </si>
  <si>
    <t xml:space="preserve">Establish, manage and validate operational activities for the Information Security Program including:
 * execution, review and improvement of Information Security Program organization activities
 * periodic executive management reporting/presentations
</t>
  </si>
  <si>
    <t xml:space="preserve">Ensure that policies, standards, etc. establish the foundation for Information Security Audit &amp; Compliance:
 * establish the high level audit requirements including internal and external review, management review, reporting and performance measurement, and remediation;
 * document organizational compliance (legal and regulatory) obligations and associated requirements, including reporting and notification;
 * establish and document plans for Audit &amp; Compliance activity;
 * establish expectations for metrics and measurement of existing controls;
 * review, update, and approval of Audit &amp; Compliance documentation;
 * review, update, and approval of organizational compliance obligations; and
 * communication of Audit &amp; Compliance policies and processes.
</t>
  </si>
  <si>
    <t>Establish, manage and validate operational activities for Information Security Audit &amp; Compliance including:
 * execution, review and improvement of Audit &amp; Compliance activities including planned audit activity and reporting, compliance review and validation, and management review; and
 * reporting of Audit &amp; Compliance performance metrics</t>
  </si>
  <si>
    <t xml:space="preserve">Ensure that policies, standards, etc. establish the foundation for Information Security Risk Assessment:
 * establish the risk assessment requirements including, methodology and approach, organizational risk assessment criteria, documentation requirements, risk treatment planning, risk management activity, management review, and reporting and performance measurement;
 * establish and document plans for Risk Assessment activity;
 * review, update, and approval of Risk Assessment documentation; and
 * communication of Risk Assessment policies and processes.
</t>
  </si>
  <si>
    <t xml:space="preserve">Establish, manage and validate operational activities for Information Security Risk Assessment including:
 * execution, review and improvement of Risk Assessment activities including scheduled risk assessments and reporting, risk management activities, and management review; and
 * reporting of Risk Assessment performance metrics
</t>
  </si>
  <si>
    <t xml:space="preserve">Ensure that policies, standards, etc. establish the foundation for Information Security Data Classification &amp; Handling:
 * establish the organizational data classification(s) that require unique Information Security controls, including considerations for compliance obligations
 * establish the organization data handling requirements in alignment with the organizations data classification(s), including considerations for physical and electronic media, protection/encryption, storage, transmission, messaging, printing, retention, destruction, sharing, etc.;
 * define reporting and performance measurement;
 * review, update, and approval of Data Classification &amp; Handling documentation; and
 * communication of Data Classification &amp; Handling policies and processes.
</t>
  </si>
  <si>
    <t xml:space="preserve">Establish, manage and validate operational activities for Information Security Data Classification &amp; Handling including:
 * implement unique Information Security controls based on classification of data including considerations for physical and electronic media, protection/encryption, storage, transmission, messaging, printing, retention, destruction, sharing, etc.;
 * reporting of Data Classification &amp; Handling performance metrics
</t>
  </si>
  <si>
    <t xml:space="preserve">Ensure that policies, standards, etc. establish the foundation for Information Security Third Party Security:
 * establish the Third Party Security management process for the organization, including vendor risk assessment, relationship management, procurement due diligence, and agreement review;
 * define the type of third party partners and the corresponding onboarding/offboarding requirements;
 * establish the requirements for Third Party Security access including physical and remote access, data access, production system access, monitoring, etc.;
 * establish the requirements for third party partner activity monitoring;
 * establish the requirements for third party partner incident response;
 * define reporting and performance measurement;
 * review, update, and approval of Third Party Security documentation; and
 * communication of Third Party Security policies and processes.
</t>
  </si>
  <si>
    <t xml:space="preserve">Establish, manage and validate operational activities for Third Party Security including:
 * implementing Third Party Security management process for the organization, including vendor risk assessment, relationship management, procurement due diligence, and agreement review;
 * implementing third party partner onboarding/offboarding procedures;
 * restricting Third Party Security access including physical and remote access, data access, production system access;
 * monitoring of Third Party activity, etc.;
 * responding to Third Party Security incidents; and 
 * reporting of Third Party Security performance metrics
</t>
  </si>
  <si>
    <t xml:space="preserve">Ensure that policies, standards, etc. establish the foundation for Information Security Incident Response Program:
 * establish the Incident Response Program for the organization, including incident response planning and incident response testing;
 * ensure the Incident Response Plan includes:
   a. revision history and formal approval;
   b. roles and responsibilities for Incident Response resources (internal and external);
   c. containment procedures;
   d. communication expectations (internal and external);
   e. notification procedures for reporting of the incident to appropriate parties as relevant
   f. collection and use of forensic evidence as part of the incident management and investigation process
   g. appropriate management of evidence for use in subsequent legal or disciplinary proceedings
   h. formal controls for recovery and remediation, including appropriate documentation of actions taken
   i. procedures for appropriate analysis and identification of the causes of an incident
 * require periodic training for Incident Response resources;
 * require periodic testing of the Incident Response Plan;
 * define reporting and performance measurement;
 * review, update, and approval of Incident Response Program documentation; and
 * communication of Incident Response Program policies and processes.
</t>
  </si>
  <si>
    <t xml:space="preserve">Establish, manage and validate operational activities for Incident Response including:
 * training Incident Response resources;
 * testing the Incident Response Plan;
 * following the Incident Response Plan during an incident including, containment, communication, notification, collection and management of evidence, remediation, documentation, and root cause analysis;
 * reporting of Incident Response Program performance metrics
</t>
  </si>
  <si>
    <t xml:space="preserve">Ensure that policies, standards, etc. establish the foundation for Information Security Business Continuity / Disaster Recovery (BC/DR) Program:
 * establish the BC/DR Program for the organization, including BC/DR planning and testing;
 * establish system classification criteria for BC/DR planning use to identify business criticality of applications/systems/processes;
 * ensure the BC/DR Plan includes:
   a. revision history and formal approval;
   b. roles and responsibilities for BC/DR resources (internal and external);
   c. physical location considerations;
   d. communication expectations (internal and external);
   e. temporary security controls;
   f. recovery procedures;
   h. verification procedures;
 * require periodic training for BC/DR resources;
 * require periodic testing of the BC/DR Plan;
 * define reporting and performance measurement;
 * review, update, and approval of BC/DR Program documentation; and
 * communication of BC/DR Program policies and processes.
</t>
  </si>
  <si>
    <t xml:space="preserve">Establish, manage and validate operational activities for BC/DR including:
 * training BC/DR resources;
 * testing the BC/DR Plan;
 * following the BC/DR Plan during an event including, physical relocation, communication, temporary security controls, recovery, and verification;
 * reporting of BC/DR Program performance metrics
</t>
  </si>
  <si>
    <t xml:space="preserve">Ensure that policies, standards, etc. establish the foundation for Information Security Change Control:
 * establish the Change Control program for the organization including overall process oversight;
 * define Change Control classification(s) to account for organization change needs (emergency, standard, routine, etc.);
 * define Change Control requirements including change classification criteria, compliance obligations, approvals, etc.;
 * define reporting and performance measurement;
 * review, update, and approval of Change Control Program documentation; and
 * communication of Change Control Program policies and processes.
</t>
  </si>
  <si>
    <t xml:space="preserve">Establish, manage and validate operational activities for Change Control including:
 * follow Change Control procedures based on Change Control classification;
 * reporting of Change Control performance metrics
</t>
  </si>
  <si>
    <t xml:space="preserve">Ensure that policies, standards, etc. establish the foundation for Secure Application Development:
 * define Secure Application Development requirements including architecture, development integration, compliance obligations, outsourcing, data protection, etc.;
 * establish Secure Application Development procedures in support of the System Development Lifecycle (SDLC), including initiation, design, development, testing, production migration, and support;
 * require periodic training for Application Development and Support resources to address evolving secure coding techniques;
 * define reporting and performance measurement;
 * review, update, and approval of Secure Application Development documentation; and
 * communication of Secure Application Development policies and processes.
</t>
  </si>
  <si>
    <t xml:space="preserve">Establish, manage and validate operational activities for Secure Application Development including:
 * training Application Development and Support resources;
 * incorporating Secure Development concepts, techniques, and compliance obligations in development and support initiatives;
 * enforcing Secure Application Development requirements when outsourcing application development and support;
 * include Secure Application Development procedures in the System Development Lifecycle (SDLC), during initiation, design, development, testing, production migration, and support;
 * reporting of Secure Application Development performance metrics
</t>
  </si>
  <si>
    <t xml:space="preserve">Ensure that policies, standards, etc. establish the foundation for Information Security Asset Management:
 * establish Asset Management requirements including acceptable use, inventory, tracking, assignment, recovery, etc.;
 * define reporting and performance measurement;
 * review, update, and approval of Asset Management documentation; and
 * communication of Asset Management policies and processes.
</t>
  </si>
  <si>
    <t xml:space="preserve">Establish, manage and validate operational activities for Asset Management including:
 * acknowledgement and acceptance of asset acceptable use;
 * management of all critical assets including assignment, location, recovery, etc.;
 * reporting of Asset Management performance metrics
</t>
  </si>
  <si>
    <t xml:space="preserve">Ensure that policies, standards, etc. establish the foundation for Information Security Access Control:
 * establish access requirements including roles &amp; responsibilities, least privilege, segregation of duties, privileged access, access provisioning/deprovisioning, shared use, etc.;
 * establish authentication requirements including remote access, credential protection, directory integration, multi-factor authentication, etc.;
 * define reporting and performance measurement;
 * review, update, and approval of Access Control documentation; and
 * communication of Access Control policies and processes.
</t>
  </si>
  <si>
    <t xml:space="preserve">Establish, manage and validate operational activities for Access Control including:
 * periodically review and manage user access;
 * restrict remote access, privileged access, shared use, local authentication;
 * require credential protection, multi-factor authentication;
 * review Access Control periodically to validate access and restrict unauthorized use; and
 * reporting of Access Control performance metrics
</t>
  </si>
  <si>
    <t xml:space="preserve">Ensure that policies, standards, etc. establish the foundation for Information Security Credential Management:
 * establish user ID requirements including uniqueness, segregation of duties, etc.;
 * establish password requirements including credential protection, multi-factor authentication, etc.;
 * define reporting and performance measurement;
 * review, update, and approval of Credential Management documentation; and
 * communication of Credential Management policies and processes.
</t>
  </si>
  <si>
    <t xml:space="preserve">Establish, manage and validate operational activities for Credential Management including:
 * periodically review and manage user IDs;
 * require credential protection, multi-factor authentication; and
 * reporting of Credential Management performance metrics
</t>
  </si>
  <si>
    <t xml:space="preserve">Ensure that policies, standards, etc. establish the foundation for Information Security Cryptographic Controls:
 * establish Cryptographic Controls requirements including technical configuration and management (procurement, key management, etc.);
 * define reporting and performance measurement;
 * review, update, and approval of Cryptographic Controls documentation; and
 * communication of Cryptographic Controls policies and processes.
</t>
  </si>
  <si>
    <t xml:space="preserve">Establish, manage and validate operational activities for Cryptographic Controls including:
 * ensure use of approved cryptographic ciphers and algorithms;
 * protect cryptographic keys; and
 * reporting of Cryptographic Controls performance metrics
</t>
  </si>
  <si>
    <t xml:space="preserve">Ensure that policies, standards, etc. establish the foundation for Information Security Logging &amp; Monitoring:
 * establish Logging &amp; Monitoring requirements including log data requirements (events, contents, etc.), integrity and protection of log data, and review and notification process;
 * define reporting and performance measurement;
 * review, update, and approval of Logging &amp; Monitoring documentation; and
 * communication of Logging &amp; Monitoring policies and processes.
</t>
  </si>
  <si>
    <t xml:space="preserve">Establish, manage and validate operational activities for Logging &amp; Monitoring including:
 * enable logging;
 * ensure the integrity of log data;
 * protect and retain log data;
 * integrate notification process with vulnerability management and incident response; and
 * reporting of Logging &amp; Monitoring performance metrics
</t>
  </si>
  <si>
    <t xml:space="preserve">Ensure that policies, standards, etc. establish the foundation for Information Security Vulnerability Management:
 * establish the Vulnerability Management requirements including, methodology and approach, risk assessment criteria, documentation requirements, remediation planning and management, management review;
 * define reporting and performance measurement;
 * review, update, and approval of Vulnerability Management documentation; and
 * communication of Vulnerability Management policies and processes.
</t>
  </si>
  <si>
    <t xml:space="preserve">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t>
  </si>
  <si>
    <t xml:space="preserve">Ensure that policies, standards, etc. establish the foundation for Information Security Maintenance:
 * establish Maintenance requirements including utility tools, equipment support schedules, equipment capacity, etc.;
 * define reporting and performance measurement;
 * review, update, and approval of Maintenance documentation; and
 * communication of Maintenance policies and processes.
</t>
  </si>
  <si>
    <t xml:space="preserve">Establish, manage and validate operational activities for Maintenance including:
 * ensure use of approved utility tools;
 * review and update systems, software, hardware, etc. based on support lifecycles and capacity; and
 * reporting of Maintenance performance metrics
</t>
  </si>
  <si>
    <t xml:space="preserve">Ensure that policies, standards, etc. establish the foundation for Information Security Systems Management:
 * establish Systems Management requirements including hardening guides, application and system requirements, vendor recommendations, etc.;
 * define reporting and performance measurement;
 * review, update, and approval of Systems Management documentation; and
 * communication of Systems policies and processes.
</t>
  </si>
  <si>
    <t xml:space="preserve">Establish, manage and validate operational activities for Systems Management including:
 * ensure hardening/protection of systems based on internal and vendor guidance;
 * reporting of Systems performance metrics
</t>
  </si>
  <si>
    <t xml:space="preserve">Ensure that policies, standards, etc. establish the foundation for Information Security Network Device Management:
 * establish Network Device Management requirements including hardening guides, device requirements, vendor recommendations, etc.;
 * define reporting and performance measurement;
 * review, update, and approval of Network Device Management documentation; and
 * communication of Network Device Management policies and processes.
</t>
  </si>
  <si>
    <t xml:space="preserve">Establish, manage and validate operational activities for Network Device Management including:
 * ensure hardening/protection of systems based on internal and vendor guidance;
 * reporting of Network Device Management performance metrics
</t>
  </si>
  <si>
    <t xml:space="preserve">Ensure that policies, standards, etc. establish the foundation for Secure Network Architecture:
 * define Secure Network Architecture requirements including configuration, project integration, compliance obligations, outsourcing, data protection, etc.;
 * establish Secure Network Architecture procedures in support of the System Development Lifecycle (SDLC), including initiation, design, development, testing, production migration, and support;
 * require periodic training for Network Engineering resources to address evolving secure architecture and configuration techniques;
 * define reporting and performance measurement;
 * review, update, and approval of Secure Application Development documentation; and
 * communication of Secure Application Development policies and processes.
</t>
  </si>
  <si>
    <t xml:space="preserve">Establish, manage and validate operational activities for Secure Network Architecture including:
 * training Network Engineering resources;
 * incorporating Secure Network Engineering concepts, techniques, and compliance obligations in architecture and support initiatives;
 * enforcing Secure Network Architecture requirements when outsourcing network engineering and support;
 * include Secure Network Architecture procedures in the System Development Lifecycle (SDLC), during initiation, design, development, testing, production migration, and support;
 * reporting of Secure Network Architecture performance metrics
</t>
  </si>
  <si>
    <t xml:space="preserve">Ensure that policies, standards, etc. establish the foundation for Information Security Application Management:
 * establish Application Management requirements including configuration guides, vendor recommendations, etc.;
 * define reporting and performance measurement;
 * review, update, and approval of Applications documentation; and
 * communication of Applications policies and processes.
</t>
  </si>
  <si>
    <t xml:space="preserve">Establish, manage and validate operational activities for Application Management including:
 * ensure secure configuration of systems based on internal and vendor guidance;
 * reporting of Application Management performance metrics
</t>
  </si>
  <si>
    <t xml:space="preserve">Ensure that policies, standards, etc. establish the foundation for Information Security Awareness:
 * establish Security Awareness requirements including initial and periodic training, etc.;
 * define reporting and performance measurement;
 * review, update, and approval of Applications documentation; and
 * communication of Applications policies and processes.
</t>
  </si>
  <si>
    <t xml:space="preserve">Establish, manage and validate operational activities for Security Awareness including:
 * require Security Awareness training;
 * ensure secure configuration of systems based on internal and vendor guidance;
 * reporting of Security Awareness performance metrics
</t>
  </si>
  <si>
    <t xml:space="preserve">Ensure that policies, standards, etc. establish the foundation for HR Security:
 * establish HR Security requirements including resource risk assessment, screening, disciplinary process, etc.;
 * define reporting and performance measurement;
 * review, update, and approval of Applications documentation; and
 * communication of HR Security policies and processes.
</t>
  </si>
  <si>
    <t xml:space="preserve">Establish, manage and validate operational activities for HR Security including:
 * require resource screening and risk assessment;
 * define the resource disciplinary process;
 * reporting of HR Security performance metrics
</t>
  </si>
  <si>
    <t xml:space="preserve">Ensure that policies, standards, etc. establish the foundation for Physical Security:
 * establish Physical Security requirements including perimeter and entry controls, secure locations, environmental threats, delivery/loading areas, utilities, cabling, secure work areas, etc.;
 * define reporting and performance measurement;
 * review, update, and approval of Physical Security documentation; and
 * communication of Physical Security policies and processes.
</t>
  </si>
  <si>
    <t xml:space="preserve">Establish, manage and validate operational activities for Physical Security including:
 * ensure secure boundaries and controls for secure/sensitive locations, including delivery/loading areas, perimeter doors &amp; windows, etc.;
 * provide protection for utilities, cabling, etc.
 * restrict access to secure work areas, provide controls and guidance for working in sensitive areas;
 * reporting of Physical Security performance metrics
</t>
  </si>
  <si>
    <t xml:space="preserve">Ensure that policies, standards, etc. establish the foundation for Media Security:
 * establish Media Security requirements including disposal and reuse of equipment, removal of assets, clear desk/screen, etc.;
 * define reporting and performance measurement;
 * review, update, and approval of Media Security documentation; and
 * communication of Media Security policies and processes.
</t>
  </si>
  <si>
    <t xml:space="preserve">Establish, manage and validate operational activities for Media Security including:
 * ensure physical and removable equipment are secured prior to reuse or disposal using industry best practice techniques;
 * ensure physical media is secure when not in use;
 * reporting of Media Security performance metrics
</t>
  </si>
  <si>
    <t>HALOCK Service/Product Offering</t>
  </si>
  <si>
    <t>BU</t>
  </si>
  <si>
    <t>Definition</t>
  </si>
  <si>
    <t>Compromise Assessment</t>
  </si>
  <si>
    <t>GCE</t>
  </si>
  <si>
    <r>
      <t xml:space="preserve">This is a HALOCK diagnostic that looks a four (4) potential attack vectors for malware activity that is occurring in a customer environment. The diagnostic looks at customers’ email, endpoints (server and workstations), network and applications, and web applications in use within the customer infrastructure to determine active malware, phishing, weaponized URLs and attachments that may have eluded the customer’s current controls. This is different from a pen test which identifies </t>
    </r>
    <r>
      <rPr>
        <u/>
        <sz val="10"/>
        <color theme="1"/>
        <rFont val="Calibri"/>
        <family val="2"/>
        <scheme val="minor"/>
      </rPr>
      <t>what may happen</t>
    </r>
    <r>
      <rPr>
        <sz val="10"/>
        <color theme="1"/>
        <rFont val="Calibri"/>
        <family val="2"/>
        <scheme val="minor"/>
      </rPr>
      <t xml:space="preserve"> vs. this diagnostic which identifies </t>
    </r>
    <r>
      <rPr>
        <u/>
        <sz val="10"/>
        <color theme="1"/>
        <rFont val="Calibri"/>
        <family val="2"/>
        <scheme val="minor"/>
      </rPr>
      <t>what is happening</t>
    </r>
    <r>
      <rPr>
        <sz val="10"/>
        <color theme="1"/>
        <rFont val="Calibri"/>
        <family val="2"/>
        <scheme val="minor"/>
      </rPr>
      <t>.</t>
    </r>
  </si>
  <si>
    <t>DOCRA Training</t>
  </si>
  <si>
    <t>For those organizations that want to embrace the principles of DOCRA, but do not have the current skill set to bring it to fruition within their environment, a HALOCK consultant will train client team members on the principles of executing a risk assessment using the publicly available DOCRA materials.</t>
  </si>
  <si>
    <t>Incident Response Readiness Program</t>
  </si>
  <si>
    <t>These bundled HALOCK offerings (IR Plan Creation, IR Plan Training, First Responder Training, IR Runbooks, Security Threat Management, Compromise Assessment, IR Tecnology Review, IR retainer, and Security Awareness Training) are specifically designed to enhance clients’ preparedness for security incidents so clients are not burdened with determining how to respond to an incident after a security breach has occurred and the live incident response window is underway.</t>
  </si>
  <si>
    <t>Incident Response Readiness: First Responder Training</t>
  </si>
  <si>
    <t>HALOCK provides skills-based training targeting the technical staff responsible for responding to incidents. This training provides attendees with a first responder toolkit enabling them to appropriately respond to incidents and handle assets appropriately.</t>
  </si>
  <si>
    <t>Incident Response Readiness: Incident Response (IR) Plan</t>
  </si>
  <si>
    <t>HALOCK provides a robust incident response plan template that includes references to establish security control groups such as NIST, ISO, PCI, HIPAA, and others. Working with client team members, a customized version of usable, practical, and auditable plan is created.</t>
  </si>
  <si>
    <t>Incident Response Readiness: IR Plan Training</t>
  </si>
  <si>
    <t>Based on an existing incident response plan, or a plan that HALOCK helped the client create, customized training is provided to client teams on the plan as well as a variety of customized tabletop scenarios for team discussion. The tabletop scenarios are adapted to the organization to ensure that the examples are realistic for the client environment.</t>
  </si>
  <si>
    <t>Incident Response SLA / Retainer</t>
  </si>
  <si>
    <t>For clients who elect to pursue a proactive incident response stance, HALOCK provides a service level agreement to respond to suspected incidents within a certain period of time. These service level agreements consist of pre-paid retainers that are available for one year. The balance of these retainers may be used for any of HALOCK’s incident response offerings (e.g., incident response plan development / refinement, threat hunting and incident response training).</t>
  </si>
  <si>
    <t>Incident Response/Forensics – Live Response</t>
  </si>
  <si>
    <t>HALOCK provides live incident response and forensic investigation services for clients who have experienced a security breach / incident. HALOCK’s scope of live incident response and forensic investigation services encompass the entire incident response process, including appropriate and effective coordination and general interaction with clients' incident response teams, incident detection, incident handing and reporting, root cause determination and facilitating lessons learned.</t>
  </si>
  <si>
    <t>Information Security Assurance Program (ISAP) / vCISO / Security Maintenance Program (SMP)</t>
  </si>
  <si>
    <t>HALOCK has senior resources that have leadership experience in strategizing organizational cybersecurity roadmaps, program management of information security objectives, and development of security measurements with executive reporting.  We can provide clients with the management expertise they need, when they need it, and without investing in a full-time CISO. The ISAP Virtual Chef Information Security Officer (vCISO) role includes strategic planning of security objectives and expert advisory services while Security Program Managers can develop assurance programs, remediation planning, project oversight, safeguard implementation guidance. Finally, the Security Maintenance Program (SMP) provides the client with measures/metrics, audit plan development, audit plan calendar management, measures oversight, and audit preparation support.</t>
  </si>
  <si>
    <t>PCI Compliance Maintenance Program</t>
  </si>
  <si>
    <t>The Compliance Maintenance Program is conducted on a regular basis to monitor and assess recurring compliance activities. The efforts performed under this program support PCI DSS “Business as Usual” activities, establish a proactive approach to validating required compliance activities, and identify control failures in a timely manner that otherwise would result in non-compliance.</t>
  </si>
  <si>
    <t>PCI Counseling and Advisory</t>
  </si>
  <si>
    <t>PCI QSA Counseling and Advisory focuses on supporting client teams during ongoing management and support of their PCI environment. Clients may schedule regular touchpoints with HALOCK QSAs or may engage the QSAs on an as needed basis via e-mail and ad hoc meetings.</t>
  </si>
  <si>
    <t>PCI DSS Education</t>
  </si>
  <si>
    <t>HALOCK’s PCI Overview presentations provide stakeholders with valuable education about the PCI Data Security Standard, validation requirements, and potential consequences for non-compliance so our clients understand what is involved in achieving PCI compliance and how best to approach the process.</t>
  </si>
  <si>
    <t>PCI DSS Preparedness Assessment</t>
  </si>
  <si>
    <t>Once a preliminary scope determination has been established, HALOCK will proceed with interviews covering all of the 12 sections and 250+ requirements in the PCI DSS to establish a compliance baseline as well as providing appropriate recommendations for addressing compliance gaps and achieving full PCI DSS compliance.</t>
  </si>
  <si>
    <t>PCI DSS Remediation Planning</t>
  </si>
  <si>
    <t>HALOCK QSAs will assist clients in developing remediation plans and budgets as well as providing ongoing remediation support as needed per client’s direction.</t>
  </si>
  <si>
    <t>PCI DSS Validation</t>
  </si>
  <si>
    <t>HALOCK is certified by the PCI Security Standards Council as a Qualified Security Assessor to perform PCI assessments. HALOCK’s PCI Compliance Team will review all aspects of the environment that stores, processes, or transmits cardholder data to validate compliance with the PCI DSS. HALOCK will collect data/evidence and perform testing as outlined in the official Security Assessment Procedures and Reporting document.</t>
  </si>
  <si>
    <t>PCI Scope Assessment</t>
  </si>
  <si>
    <t>HALOCK QSAs work with client’s staff to identify all credit card acceptance channels and the details of each process which can include: how the payment is received (card-present, card-not-present), if the credit card number is stored (electronically or on paper records), how the payment is transmitted through the environment and how the payment is processed. As well as if any third parties are included in any step of the process. This information is used to determine the preliminary scope of PCI DSS compliance as well as identifying scoping risk factors and providing scope reduction options to clients.</t>
  </si>
  <si>
    <t>Penetration Test – External Network</t>
  </si>
  <si>
    <t>VAS</t>
  </si>
  <si>
    <t>External penetration tests differ from automated vulnerability scans in that comprehensive testing efforts are performed, focusing on exploiting weaknesses with the intent of gaining access to the environment. They are performed remote to the environment to simulate an external attack, targeting responding internet facing hosts and services. Testing can be conducted as a point in time engagement or as part of a recurring testing program.</t>
  </si>
  <si>
    <t>Penetration Test – Internal Network</t>
  </si>
  <si>
    <t>Internal penetration tests differ from automated vulnerability scans in that comprehensive testing efforts are performed, focusing on exploiting weaknesses with the intent of gaining access to assets positioned within the private network. They are performed internal to the environment to simulate insider threats, targeting networks, hosts, and responding services. Testing can be conducted as a point in time engagement or as part of a recurring testing program.</t>
  </si>
  <si>
    <t>Penetration Test – Remediation Verification</t>
  </si>
  <si>
    <t>Remediation verification testing validates identified vulnerabilities have been successfully remediated, providing independent confirmation that corrective measures have been implemented in a manner that prevents exploitation. Testing can be conducted as a point in time engagement or as part of a recurring testing program.</t>
  </si>
  <si>
    <t>Penetration Test – Social Engineering</t>
  </si>
  <si>
    <t>Social Engineering Penetration Tests validate the effectiveness of user security awareness, incident response, and network security controls such as malware defenses, local permissions, and egress protections. Performed under controlled conditions, testing involves issuing carefully crafted emails to lure users to fictitious “malicious” websites, attempts to compromise these users, escalate privileges, and penetrate the internal environment. Testing can be conducted as a point in time engagement or as part of a recurring testing program.</t>
  </si>
  <si>
    <t>Penetration Test – Web Application</t>
  </si>
  <si>
    <t>For sensitive or high value web applications, a comprehensive review is appropriate. HALOCK’s approach to assessing web applications comprehensively identifies and evaluates web application vulnerabilities. Testing is performed with knowledge of the functionality available to users and their access levels to ensure a detailed review of the application. Testing can be conducted as a point in time engagement or as part of a recurring testing program.</t>
  </si>
  <si>
    <t>Penetration Test – Wireless</t>
  </si>
  <si>
    <t>Wireless penetration tests assess the adequacy of multiple security controls designed to protect unauthorized access to wireless services. Testing attempts to exploit wireless vulnerabilities to gain access to private (protected) wireless SSIDs or to escalate privileges on guest SSIDs intended to be isolated from private networks. Testing can be conducted as a point in time engagement or as part of a recurring testing program.</t>
  </si>
  <si>
    <t>Policies, Standards, and Procedure Development</t>
  </si>
  <si>
    <t>Leveraging HALOCK’s own policy library and proprietary approach, we can help clients identify requirements, draft policies and procedures, test those procedures, and improve and finalize their documentation in a manner that is clear and actionable. Various policy sets are available based on a variety of control sets. Examples include NIST, ISO, PCI, HIPAA, SOC2, or custom crosswalks between control sets.</t>
  </si>
  <si>
    <t>Privacy – Process Mapping and Data Inventory</t>
  </si>
  <si>
    <t>HALOCK will work with the client to identify business processes that are impacted by privacy regulations. Once identified, HALOCK assist in the creation of a high-level process map and a detailed data inventory that, when completed, will meet the requirements detailed in the applicable privacy regulation(s).</t>
  </si>
  <si>
    <t>Privacy Assessment</t>
  </si>
  <si>
    <t>HALOCK resources will assist clients through a comprehensive review of the requirements outlined in applicable privacy regulations. The project includes the creation of high-level process maps and detailed data inventories. Controls will be assessed through interview and observation of the client’s ability to meet applicable regulatory requirements. Additionally, HALOCK will perform a DoCRA-based risk assessment to ensure that proposed privacy controls will be effective and that currently implemented security controls are reasonable and appropriate.</t>
  </si>
  <si>
    <t xml:space="preserve">HALOCK’s Information Risk Assessment method is an evidence-based process that helps organizations understand their current information security risks and helps them develop plans for reasonable safeguards that reduce those risks to acceptable levels without being overly burdensome. This risk assessment uses two analytical methods to ensure that risk assessments are reasonable and defendable; “Duty of Care” analysis, and our HALOCK Industry Threats Index (“HIT Index”). HALOCK applies Duty of Care Risk Analysis (“DoCRA”) to the risk assessment by comparing the foreseeable impacts of risks to the impacts that recommended safeguards may create. Regulations, statutes, and information security standards commonly require that the burden of a safeguard may not exceed the likelihood and impact of the risk that it is designed to prevent. Further, HALOCK estimates the likelihood of risk using our HIT Index. This index will align the client’s security controls and processes with the most common causes of reported security incidents in their industry. The HIT Index not only ensures that the risk analysis will be evidence-based, but that the client will be able to compare themselves to peer organizations who have suffered reported security incidents. </t>
  </si>
  <si>
    <t>Risk Assessment - HIPAA</t>
  </si>
  <si>
    <t>Applying information risk assessments and risk treatment planning to HIPAA-specific environments.</t>
  </si>
  <si>
    <t>Risk Assessment - PCI</t>
  </si>
  <si>
    <t>Applying information risk assessments and risk treatment planning to PCI-DSS-specific environments.</t>
  </si>
  <si>
    <t>Risk Assessment - Third Party</t>
  </si>
  <si>
    <t>HALOCK can provide clients with a team of certified security auditors to perform third-party assessments utilizing HALOCK’s risk assessment methodology and using controls that are specific to the vendor’s industry and the client’s requirements.</t>
  </si>
  <si>
    <t>Risk Assessment &amp; Risk Maintenance</t>
  </si>
  <si>
    <t xml:space="preserve">HALOCK implements risk register maintenance procedures and oversight processes to help our client maintain compliance and to improve security over time. </t>
  </si>
  <si>
    <t>Security Architecture Review</t>
  </si>
  <si>
    <t>A HALOCK service that analyzes a customer’s infrastructure and network components from a security perspective. The offering consists of customer staff interviews, a maturity analysis against the CIS critical controls, automated and manual analysis of firewalls, routers, switches, IDPs, Proxies, Wireless Access Points, and other custom configurations at the customer’s request. This is usually performed at a fixed fee.  See Threat Based Security Assessment for a different flavor of this offering.</t>
  </si>
  <si>
    <t>Security Awareness Program Creation</t>
  </si>
  <si>
    <t>HALOCK will work with clients to create a robust security awareness program using tools, training, and technology. A combination of user training, live events, newsletters, display posters, etc. is created for a yearly program that best fits the organizational culture and environment.</t>
  </si>
  <si>
    <t>Security Awareness Training (control set specific)</t>
  </si>
  <si>
    <t>On request, HALOCK can create customized training based on a specific control set, such as PCI DSS. Customized training includes current policies and procedures, as well as best practices, and is delivered in person or via web conferencing.</t>
  </si>
  <si>
    <t>Security Awareness Training (general, instructor led)</t>
  </si>
  <si>
    <t>HALOCK provides clients with instructor led security awareness training based on a best practices approach. The training uses example scenarios in which users might find themselves and how they should respond in a safe manner. Scenarios include safe Wi-Fi practices, surfing the web, using email, mobile phone safety, etc. Training is customized for each client to include specific elements of their environment and/or internal policies. The training can be delivered in person or via web conferencing.</t>
  </si>
  <si>
    <t>Security Maintenance Program / vCISO</t>
  </si>
  <si>
    <r>
      <t>HALOCK has senior resources that have leadership experience in security, technology, and operations. We can provide clients with the management expertise they need, when they need it, and without investing in a full-time CISO. Activities may include 3</t>
    </r>
    <r>
      <rPr>
        <vertAlign val="superscript"/>
        <sz val="10"/>
        <color theme="1"/>
        <rFont val="Calibri"/>
        <family val="2"/>
        <scheme val="minor"/>
      </rPr>
      <t>rd</t>
    </r>
    <r>
      <rPr>
        <sz val="10"/>
        <color theme="1"/>
        <rFont val="Calibri"/>
        <family val="2"/>
        <scheme val="minor"/>
      </rPr>
      <t xml:space="preserve"> party management, assurance program development and facilitation, project/program management, mergers and acquisitions assistance, security organization design, and other similar services.</t>
    </r>
  </si>
  <si>
    <t>Security Product Selection, Implementation, Fine-Tuning</t>
  </si>
  <si>
    <t xml:space="preserve">HALOCK provides diverse security product selection, implementation, deployment and fine-tuning / configuration consulting services encompassing numerous security products. </t>
  </si>
  <si>
    <t>For the most up to date information on vendors, please see the presentation located here à https://halock.sharepoint.com/:p:/g/gce/Edm7fr-SSpxAgDiHtiU-7s4B9WfuoveGnu1oiCZYt7-cWw?e=QJ4LmE or https://halock.sharepoint.com/:x:/g/sales/EbU6wZx76uhDvlFyjgifEFYBfQCS6LJReW3Wt1JriRMTBg?e=YXp6hT</t>
  </si>
  <si>
    <t>Security Threat Management</t>
  </si>
  <si>
    <t>HALOCK offers a 5x8 managed services with agreed upon SLA for response times using state of the art tools to detect and respond to indicators of compromise within the network, web, and on endpoints. Includes daily monitoring reports, weekly status meetings and reports. The tools may be provided by HALOCK or the customer.</t>
  </si>
  <si>
    <t>Third Party Vendor Assessments</t>
  </si>
  <si>
    <t>HALOCK can integrate into the client’s current vendor management program to perform third-party assessments on their behalf utilizing the client’s due diligence processes, security questionnaires, documentation requests, and reporting structure.</t>
  </si>
  <si>
    <t>Third Party Vendor Management Services</t>
  </si>
  <si>
    <t xml:space="preserve">HALOCK can establish a vendor due diligence program to help our clients ensure that their business partners and service providers have an established information security program that meets regulatory and contractual requirements. </t>
  </si>
  <si>
    <t>Threat Based Security Assessment</t>
  </si>
  <si>
    <t>Similar in approach to a Security Architecture Review, this assessment adds on an attack path modeling component (APM).  The APM component utilizes the top five threats in the customer’s industry and models the the attack path across the existing security controls and processes in place.  The objective is to highlight areas that can be addressed to most effectively disrupt the cyber kill chain to prevent the success of a potential threat.</t>
  </si>
  <si>
    <t>Risk Treatment Activity</t>
  </si>
  <si>
    <t xml:space="preserve"> </t>
  </si>
  <si>
    <t>Control would reliability prevent the threat</t>
  </si>
  <si>
    <t>Control would reliably prevent most occurences of the threat</t>
  </si>
  <si>
    <t>Control would prevent as many threat occurences as it would miss</t>
  </si>
  <si>
    <t>Control would prevent few threat occurences</t>
  </si>
  <si>
    <t>Control would not prevent threat occurrences</t>
  </si>
  <si>
    <t>Likelihood Description</t>
  </si>
  <si>
    <t>Safeguard is not implemented or is inconsistently implemented.</t>
  </si>
  <si>
    <t>Safeguard is implemented fully on some assets or partially on all assets.</t>
  </si>
  <si>
    <t>Safeguard is implemented on all assets.</t>
  </si>
  <si>
    <t>Safeguard is tested and inconsistencies are corrected.</t>
  </si>
  <si>
    <t>Safeguard has mechanisms that ensure consistent implementation over time.</t>
  </si>
  <si>
    <t>Quintile</t>
  </si>
  <si>
    <t>Likelihood of Control Failure</t>
  </si>
  <si>
    <t>Likelihood of Control Failure after SG</t>
  </si>
  <si>
    <t>1 - Safeguard is not implemented or is inconsistently implemented.
2 - Safeguard is implemented fully on some assets or partially on all assets.
3 - Safeguard is implemented on all assets.
4 - Safeguard is tested and inconsistencies are corrected.
5 - Safeguard has mechanisms that ensure consistent implementation over time.</t>
  </si>
  <si>
    <t>1 - Not Foreseeable | Control would reliability prevent the threat
2 - Foreseeable, not expected | Control would reliably prevent most occurences of the threat
3 - Foreseeable, expected | Control would prevent as many threat occurences as it would miss
4 - Common | Control would prevent few threat occurences
5 - Continuous | Control would not prevent threat occurrences</t>
  </si>
  <si>
    <t>ISO 27001</t>
  </si>
  <si>
    <t>ISO 27701</t>
  </si>
  <si>
    <t>Privacy Organization</t>
  </si>
  <si>
    <t>NIST 800-53 r4</t>
  </si>
  <si>
    <t>NIST 800-53 r5</t>
  </si>
  <si>
    <t>Purpose: The HIT Weight Distribution Index provides the risk register's "Likelihood" column with an automatic value based on a combination of the maturity of the security control and the HIT Score. The index provides guidance on how likely an organization should consider a compromising threat to occur. The distribution of likelihood scores biases toward the less-likely given that the control maturity score indicates how well the organization oversees and improves the effectiveness of its controls.</t>
  </si>
  <si>
    <t>Safeguard Threat Cluster</t>
  </si>
  <si>
    <t>Safeguard HIT Quintile</t>
  </si>
  <si>
    <t>Provide information to help remote Clients stay healthy.</t>
  </si>
  <si>
    <t>Clients must not be harmed by compromised information.</t>
  </si>
  <si>
    <t>Clients continue to access helpful information, and outcomes are on track.</t>
  </si>
  <si>
    <t>Clients do not experience loss of service or protection.</t>
  </si>
  <si>
    <t>Some Clients may not get all the information they need as they request it.</t>
  </si>
  <si>
    <t>Clients may be concerned, but not harmed.</t>
  </si>
  <si>
    <t>Some Clients may be harmed financially or reputationally after compromise of information or services.</t>
  </si>
  <si>
    <t>Many Clients consistently cannot access beneficial information.</t>
  </si>
  <si>
    <t>Many Clients may be harmed financially or reputationally</t>
  </si>
  <si>
    <t>We can no longer provide helpful information to remote Clients.</t>
  </si>
  <si>
    <t>Some Clients may be harmed financially, reputationally, or physically, up to and including death.</t>
  </si>
  <si>
    <t>Some Clients cannot access the information they need to maintain good  outcomes.</t>
  </si>
  <si>
    <t>HALOCK</t>
  </si>
  <si>
    <t>No approval needed</t>
  </si>
  <si>
    <t>Conduct weekly status and management meetings</t>
  </si>
  <si>
    <t>Weekly meeting</t>
  </si>
  <si>
    <t>Notes</t>
  </si>
  <si>
    <t>Sep-23</t>
  </si>
  <si>
    <t>Aug-23</t>
  </si>
  <si>
    <t>Jul-23</t>
  </si>
  <si>
    <t>Jun-23</t>
  </si>
  <si>
    <t>May-23</t>
  </si>
  <si>
    <t>Apr-23</t>
  </si>
  <si>
    <t>Mar-23</t>
  </si>
  <si>
    <t>Feb-23</t>
  </si>
  <si>
    <t>Jan-23</t>
  </si>
  <si>
    <t>Dec-22</t>
  </si>
  <si>
    <t>Nov-22</t>
  </si>
  <si>
    <t>Oct-22</t>
  </si>
  <si>
    <t>Sep-22</t>
  </si>
  <si>
    <t>Aug-22</t>
  </si>
  <si>
    <t>Jul-22</t>
  </si>
  <si>
    <t>Status</t>
  </si>
  <si>
    <t>Responsibility</t>
  </si>
  <si>
    <t>Feasibility</t>
  </si>
  <si>
    <t>Step</t>
  </si>
  <si>
    <t>Project</t>
  </si>
  <si>
    <t>Q3.2023</t>
  </si>
  <si>
    <t>Q2.2023</t>
  </si>
  <si>
    <t>Q1.2023</t>
  </si>
  <si>
    <t>Q4.2022</t>
  </si>
  <si>
    <t>Q3.2022</t>
  </si>
  <si>
    <t>Retainer Balance</t>
  </si>
  <si>
    <t>Retainer Planned</t>
  </si>
  <si>
    <t>Retainer Budgeted</t>
  </si>
  <si>
    <t>Estimated Start Date (MM/DD/YYYY)</t>
  </si>
  <si>
    <t>Estimated End Date (MM/DD/YYYY)</t>
  </si>
  <si>
    <t>Due Date</t>
  </si>
  <si>
    <t>Aggregated Risk Score Trend</t>
  </si>
  <si>
    <t>Start Date</t>
  </si>
  <si>
    <t>First Date of Quarter</t>
  </si>
  <si>
    <t>Scenario Builder Status</t>
  </si>
  <si>
    <t>Scenario Builder Current Risk</t>
  </si>
  <si>
    <t>Quarters</t>
  </si>
  <si>
    <t>Max What-if Risk</t>
  </si>
  <si>
    <t>Average What-if Risk</t>
  </si>
  <si>
    <t>Planned Average Risk</t>
  </si>
  <si>
    <t>Planned Max Risk</t>
  </si>
  <si>
    <t>Current Average Risk</t>
  </si>
  <si>
    <t>Current Max Risk</t>
  </si>
  <si>
    <t>Defense Preparedness</t>
  </si>
  <si>
    <t>Attack Prevalence</t>
  </si>
  <si>
    <t>Risk Treatment Safeguard Progress</t>
  </si>
  <si>
    <t>Start Range Date</t>
  </si>
  <si>
    <t>End Range Date</t>
  </si>
  <si>
    <t>Indicator Width</t>
  </si>
  <si>
    <t>Attack Percentage</t>
  </si>
  <si>
    <t>Your Associated Risk</t>
  </si>
  <si>
    <t>Maturity of Preventive Controls</t>
  </si>
  <si>
    <t>Order</t>
  </si>
  <si>
    <t>Occurrence</t>
  </si>
  <si>
    <t>Responsible Party</t>
  </si>
  <si>
    <t>Third-Party</t>
  </si>
  <si>
    <t>No Approval Needed</t>
  </si>
  <si>
    <t>Approval Needed</t>
  </si>
  <si>
    <t>Needs Budget Increase</t>
  </si>
  <si>
    <t>New Hire Needed</t>
  </si>
  <si>
    <t>ID</t>
  </si>
  <si>
    <t>Avg Maturity</t>
  </si>
  <si>
    <t>Tgt Avg Maturity</t>
  </si>
  <si>
    <t>Dif Maturity</t>
  </si>
  <si>
    <t>Standard Controls</t>
  </si>
  <si>
    <t>Standard</t>
  </si>
  <si>
    <t>CIS CSC v8</t>
  </si>
  <si>
    <t>1.2 | Inventory and Control of Enterprise Assets | Address Unauthorized Assets (Respond) (IG1, IG2, IG3)</t>
  </si>
  <si>
    <t>1.3 | Inventory and Control of Enterprise Assets | Utilize an Active Discovery Tool (Detect) (IG2, IG3)</t>
  </si>
  <si>
    <t>1.4 | Inventory and Control of Enterprise Assets | Use Dynamic Host Configuration Protocol (DHCP) Logging to Update Enterprise Asset Inventory (Identify) (IG2, IG3)</t>
  </si>
  <si>
    <t>1.5 | Inventory and Control of Enterprise Assets | Use a Passive Asset Discovery Tool (Detect) (IG3)</t>
  </si>
  <si>
    <t>2.2 | Inventory and Control of Software Assets | Ensure Authorized Software is Currently Supported (Identify) (IG1, IG2, IG3)</t>
  </si>
  <si>
    <t>2.3 | Inventory and Control of Software Assets | Address Unauthorized Software (Respond) (IG1, IG2, IG3)</t>
  </si>
  <si>
    <t>2.4 | Inventory and Control of Software Assets | Utilize Automated Software Inventory Tools (Detect) (IG2, IG3)</t>
  </si>
  <si>
    <t>2.5 | Inventory and Control of Software Assets | Allowlist Authorized Software (Protect) (IG2, IG3)</t>
  </si>
  <si>
    <t>2.6 | Inventory and Control of Software Assets | Allowlist Authorized Libraries (Protect) (IG2, IG3)</t>
  </si>
  <si>
    <t>2.7 | Inventory and Control of Software Assets | Allowlist Authorized Scripts (Protect) (IG3)</t>
  </si>
  <si>
    <t>3.3 | Data Protection | Configure Data Access Control Lists (Protect) (IG1, IG2, IG3)</t>
  </si>
  <si>
    <t>3.4 | Data Protection | Enforce Data Retention (Protect) (IG1, IG2, IG3)</t>
  </si>
  <si>
    <t>3.5 | Data Protection | Securely Dispose of Data (Protect) (IG1, IG2, IG3)</t>
  </si>
  <si>
    <t>3.6 | Data Protection | Encrypt Data on End-User Devices (Protect) (IG1, IG2, IG3)</t>
  </si>
  <si>
    <t>3.8 | Data Protection | Document Data Flows (Identify) (IG2, IG3)</t>
  </si>
  <si>
    <t>3.9 | Data Protection | Encrypt Data on Removable Media (Protect) (IG2, IG3)</t>
  </si>
  <si>
    <t>3.10 | Data Protection | Encrypt Sensitive Data in Transit (Protect) (IG2, IG3)</t>
  </si>
  <si>
    <t>3.11 | Data Protection | Encrypt Sensitive Data at Rest (Protect) (IG2, IG3)</t>
  </si>
  <si>
    <t>3.12 | Data Protection | Segment Data Processing and Storage Based on Sensitivity (Protect) (IG2, IG3)</t>
  </si>
  <si>
    <t>3.13 | Data Protection | Deploy a Data Loss Prevention Solution (Protect) (IG3)</t>
  </si>
  <si>
    <t>3.14 | Data Protection | Log Sensitive Data Access (Detect) (IG3)</t>
  </si>
  <si>
    <t>4.3 | Secure Configuration of Enterprise Assets and Software | Configure Automatic Session Locking on Enterprise Assets (Protect) (IG1, IG2, IG3)</t>
  </si>
  <si>
    <t>4.4 | Secure Configuration of Enterprise Assets and Software | Implement and Manage a Firewall on Servers (Protect) (IG1, IG2, IG3)</t>
  </si>
  <si>
    <t>4.5 | Secure Configuration of Enterprise Assets and Software | Implement and Manage a Firewall on End-User Devices (Protect) (IG1, IG2, IG3)</t>
  </si>
  <si>
    <t>4.6 | Secure Configuration of Enterprise Assets and Software | Securely Manage Enterprise Assets and Software (Protect) (IG1, IG2, IG3)</t>
  </si>
  <si>
    <t>4.7 | Secure Configuration of Enterprise Assets and Software | Manage Default Accounts on Enterprise Assets and Software (Protect) (IG1, IG2, IG3)</t>
  </si>
  <si>
    <t>4.8 | Secure Configuration of Enterprise Assets and Software | Uninstall or Disable Unnecessary Services on Enterprise Assets and Software (Protect) (IG2, IG3)</t>
  </si>
  <si>
    <t>4.9 | Secure Configuration of Enterprise Assets and Software | Configure Trusted DNS Servers on Enterprise Assets (Protect) (IG2, IG3)</t>
  </si>
  <si>
    <t>4.10 | Secure Configuration of Enterprise Assets and Software | Enforce Automatic Device Lockout on Portable End-User Devices (Respond) (IG2, IG3)</t>
  </si>
  <si>
    <t>4.11 | Secure Configuration of Enterprise Assets and Software | Enforce Remote Wipe Capability on Portable End-User Devices (Protect) (IG2, IG3)</t>
  </si>
  <si>
    <t>4.12 | Secure Configuration of Enterprise Assets and Software | Separate Enterprise Workspaces on Mobile End-User Devices (Protect) (IG3)</t>
  </si>
  <si>
    <t>5.2 | Account Management | Use Unique Passwords (Protect) (IG1, IG2, IG3)</t>
  </si>
  <si>
    <t>5.3 | Account Management | Disable Dormant Accounts (Respond) (IG1, IG2, IG3)</t>
  </si>
  <si>
    <t>5.4 | Account Management | Restrict Administrator Privileges to Dedicated Administrator Accounts (Protect) (IG1, IG2, IG3)</t>
  </si>
  <si>
    <t>5.6 | Account Management | Centralize Account Management (Protect) (IG2, IG3)</t>
  </si>
  <si>
    <t>6.7 | Access Control Management | Centralize Access Control (Protect) (IG2, IG3)</t>
  </si>
  <si>
    <t>6.8 | Access Control Management | Define and Maintain Role-Based Access Control (Protect) (IG3)</t>
  </si>
  <si>
    <t>7.3 | Continuous Vulnerability Management | Perform Automated Operating System Patch Management (Protect) (IG1, IG2, IG3)</t>
  </si>
  <si>
    <t>7.4 | Continuous Vulnerability Management | Perform Automated Application Patch Management (Protect) (IG1, IG2, IG3)</t>
  </si>
  <si>
    <t>7.5 | Continuous Vulnerability Management | Perform Automated Vulnerability Scans of Internal Enterprise Assets (Identify) (IG2, IG3)</t>
  </si>
  <si>
    <t>7.6 | Continuous Vulnerability Management | Perform Automated Vulnerability Scans of Externally-Exposed Enterprise Assets (Identify) (IG2, IG3)</t>
  </si>
  <si>
    <t>7.7 | Continuous Vulnerability Management | Remediate Detected Vulnerabilities (Respond) (IG2, IG3)</t>
  </si>
  <si>
    <t>8.2 | Audit Log Management | Collect Audit Logs (Detect) (IG1, IG2, IG3)</t>
  </si>
  <si>
    <t>8.3 | Audit Log Management | Ensure Adequate Audit Log Storage (Protect) (IG1, IG2, IG3)</t>
  </si>
  <si>
    <t>8.4 | Audit Log Management | Standardize Time Synchronization (Protect) (IG2, IG3)</t>
  </si>
  <si>
    <t>8.5 | Audit Log Management | Collect Detailed Audit Logs (Detect) (IG2, IG3)</t>
  </si>
  <si>
    <t>8.6 | Audit Log Management | Collect DNS Query Audit Logs (Detect) (IG2, IG3)</t>
  </si>
  <si>
    <t>8.7 | Audit Log Management | Collect URL Request Audit Logs (Detect) (IG2, IG3)</t>
  </si>
  <si>
    <t>8.8 | Audit Log Management | Collect Command-Line Audit Logs (Detect) (IG2, IG3)</t>
  </si>
  <si>
    <t>8.9 | Audit Log Management | Centralize Audit Logs (Detect) (IG2, IG3)</t>
  </si>
  <si>
    <t>8.10 | Audit Log Management | Retain Audit Logs (Protect) (IG2, IG3)</t>
  </si>
  <si>
    <t>8.11 | Audit Log Management | Conduct Audit Log Reviews (Detect) (IG2, IG3)</t>
  </si>
  <si>
    <t>8.12 | Audit Log Management | Collect Service Provider Logs (Detect) (IG3)</t>
  </si>
  <si>
    <t>9.1 | Email and Web Browser Protections | Ensure Use of Only Fully Supported Browsers and Email Clients (Protect) (IG1, IG2, IG3)</t>
  </si>
  <si>
    <t>9.2 | Email and Web Browser Protections | Use DNS Filtering Services (Protect) (IG1, IG2, IG3)</t>
  </si>
  <si>
    <t>9.3 | Email and Web Browser Protections | Maintain and Enforce Network-Based URL Filters (Protect) (IG2, IG3)</t>
  </si>
  <si>
    <t>9.4 | Email and Web Browser Protections | Restrict Unnecessary or Unauthorized Browser and Email Client Extensions (Protect) (IG2, IG3)</t>
  </si>
  <si>
    <t>9.5 | Email and Web Browser Protections | Implement DMARC (Protect) (IG2, IG3)</t>
  </si>
  <si>
    <t>9.6 | Email and Web Browser Protections | Block Unnecessary File Types (Protect) (IG2, IG3)</t>
  </si>
  <si>
    <t>9.7 | Email and Web Browser Protections | Deploy and Maintain Email Server Anti-Malware Protections (Protect) (IG3)</t>
  </si>
  <si>
    <t>10.1 | Malware Defenses | Deploy and Maintain Anti-Malware Software (Protect) (IG1, IG2, IG3)</t>
  </si>
  <si>
    <t>10.2 | Malware Defenses | Configure Automatic Anti-Malware Signature Updates (Protect) (IG1, IG2, IG3)</t>
  </si>
  <si>
    <t>10.3 | Malware Defenses | Disable Autorun and Autoplay for Removable Media (Protect) (IG1, IG2, IG3)</t>
  </si>
  <si>
    <t>10.4 | Malware Defenses | Configure Automatic Anti-Malware Scanning of Removable Media (Detect) (IG2, IG3)</t>
  </si>
  <si>
    <t>10.5 | Malware Defenses | Enable Anti-Exploitation Features (Protect) (IG2, IG3)</t>
  </si>
  <si>
    <t>10.6 | Malware Defenses | Centrally Manage Anti-Malware Software (Protect) (IG2, IG3)</t>
  </si>
  <si>
    <t>10.7 | Malware Defenses | Use Behavior-Based Anti-Malware Software (Detect) (IG2, IG3)</t>
  </si>
  <si>
    <t>11.2 | Data Recovery | Perform Automated Backups (Recover) (IG1, IG2, IG3)</t>
  </si>
  <si>
    <t>11.3 | Data Recovery | Protect Recovery Data (Protect) (IG1, IG2, IG3)</t>
  </si>
  <si>
    <t>11.5 | Data Recovery | Test Data Recovery (Recover) (IG2, IG3)</t>
  </si>
  <si>
    <t>12.3 | Network Infrastructure Management | Securely Manage Network Infrastructure (Protect) (IG2, IG3)</t>
  </si>
  <si>
    <t>12.5 | Network Infrastructure Management | Centralize Network Authentication, Authorization, and Auditing (AAA) (Protect) (IG2, IG3)</t>
  </si>
  <si>
    <t>12.6 | Network Infrastructure Management | Use of Secure Network Management and Communication Protocols (Protect) (IG2, IG3)</t>
  </si>
  <si>
    <t>12.7 | Network Infrastructure Management | Ensure Remote Devices Utilize a VPN and are Connecting to an Enterprise's AAA Infrastructure (Protect) (IG2, IG3)</t>
  </si>
  <si>
    <t>13.1 | Network Monitoring and Defense | Centralize Security Event Alerting (Detect) (IG2, IG3)</t>
  </si>
  <si>
    <t>13.2 | Network Monitoring and Defense | Deploy a Host-Based Intrusion Detection Solution (Detect) (IG2, IG3)</t>
  </si>
  <si>
    <t>13.3 | Network Monitoring and Defense | Deploy a Network Intrusion Detection Solution (Detect) (IG2, IG3)</t>
  </si>
  <si>
    <t>13.4 | Network Monitoring and Defense | Perform Traffic Filtering Between Network Segments (Protect) (IG2, IG3)</t>
  </si>
  <si>
    <t>13.5 | Network Monitoring and Defense | Manage Access Control for Remote Assets (Protect) (IG2, IG3)</t>
  </si>
  <si>
    <t>13.6 | Network Monitoring and Defense | Collect Network Traffic Flow Logs (Detect) (IG2, IG3)</t>
  </si>
  <si>
    <t>13.7 | Network Monitoring and Defense | Deploy a Host-Based Intrusion Prevention Solution (Protect) (IG3)</t>
  </si>
  <si>
    <t>13.8 | Network Monitoring and Defense | Deploy a Network Intrusion Prevention Solution (Protect) (IG3)</t>
  </si>
  <si>
    <t>13.9 | Network Monitoring and Defense | Deploy Port-Level Access Control (Protect) (IG3)</t>
  </si>
  <si>
    <t>13.10 | Network Monitoring and Defense | Perform Application Layer Filtering (Protect) (IG3)</t>
  </si>
  <si>
    <t>13.11 | Network Monitoring and Defense | Tune Security Event Alerting Thresholds (Detect) (IG3)</t>
  </si>
  <si>
    <t>14.2 | Security Awareness and Skills Training | Train Workforce Members to Recognize Social Engineering Attacks (Protect) (IG1, IG2, IG3)</t>
  </si>
  <si>
    <t>14.3 | Security Awareness and Skills Training | Train Workforce Members on Authentication Best Practices (Protect) (IG1, IG2, IG3)</t>
  </si>
  <si>
    <t>14.4 | Security Awareness and Skills Training | Train Workforce on Data Handling Best Practices (Protect) (IG1, IG2, IG3)</t>
  </si>
  <si>
    <t>14.5 | Security Awareness and Skills Training | Train Workforce Members on Causes of Unintentional Data Exposure (Protect) (IG1, IG2, IG3)</t>
  </si>
  <si>
    <t>14.6 | Security Awareness and Skills Training | Train Workforce Members on Recognizing and Reporting Security Incidents (Protect) (IG1, IG2, IG3)</t>
  </si>
  <si>
    <t>14.7 | Security Awareness and Skills Training | Train Workforce on How to Identify and Report if Their Enterprise Assets are Missing Security Updates (Protect) (IG1, IG2, IG3)</t>
  </si>
  <si>
    <t>14.8 | Security Awareness and Skills Training | Train Workforce on the Dangers of Connecting to and Transmitting Enterprise Data Over Insecure Networks (Protect) (IG1, IG2, IG3)</t>
  </si>
  <si>
    <t>14.9 | Security Awareness and Skills Training | Conduct Role-Specific Security Awareness and Skills Training (Protect) (IG2, IG3)</t>
  </si>
  <si>
    <t>15.3 | Service Provider Management | Classify Service Providers (Identify) (IG2, IG3)</t>
  </si>
  <si>
    <t>15.4 | Service Provider Management | Ensure Service Provider Contracts Include Security Requirements (Protect) (IG2, IG3)</t>
  </si>
  <si>
    <t>15.5 | Service Provider Management | Assess Service Providers (Identify) (IG3)</t>
  </si>
  <si>
    <t>15.6 | Service Provider Management | Monitor Service Providers (Detect) (IG3)</t>
  </si>
  <si>
    <t>15.7 | Service Provider Management | Securely Decommission Service Providers (Protect) (IG3)</t>
  </si>
  <si>
    <t>16.3 | Application Software Security | Perform Root Cause Analysis on Security Vulnerabilities (Protect) (IG2, IG3)</t>
  </si>
  <si>
    <t>16.5 | Application Software Security | Use Up-to-Date and Trusted Third-Party Software Components (Protect) (IG2, IG3)</t>
  </si>
  <si>
    <t>16.7 | Application Software Security | Use Standard Hardening Configuration Templates for Application Infrastructure (Protect) (IG2, IG3)</t>
  </si>
  <si>
    <t>16.8 | Application Software Security | Separate Production and Non-Production Systems (Protect) (IG2, IG3)</t>
  </si>
  <si>
    <t>16.9 | Application Software Security | Train Developers in Application Security Concepts and Secure Coding (Protect) (IG2, IG3)</t>
  </si>
  <si>
    <t>16.10 | Application Software Security | Apply Secure Design Principles in Application Architectures (Protect) (IG2, IG3)</t>
  </si>
  <si>
    <t>16.11 | Application Software Security | Leverage Vetted Modules or Services for Application Security Components (Protect) (IG2, IG3)</t>
  </si>
  <si>
    <t>16.12 | Application Software Security | Implement Code-Level Security Checks (Protect) (IG3)</t>
  </si>
  <si>
    <t>16.13 | Application Software Security | Conduct Application Penetration Testing (Protect) (IG3)</t>
  </si>
  <si>
    <t>16.14 | Application Software Security | Conduct Threat Modeling (Protect) (IG3)</t>
  </si>
  <si>
    <t>17.1 | Incident Response Management | Designate Personnel to Manage Incident Handling (Respond) (IG1, IG2, IG3)</t>
  </si>
  <si>
    <t>17.5 | Incident Response Management | Assign Key Roles and Responsibilities (Respond) (IG2, IG3)</t>
  </si>
  <si>
    <t>17.7 | Incident Response Management | Conduct Routine Incident Response Exercises (Recover) (IG2, IG3)</t>
  </si>
  <si>
    <t>17.8 | Incident Response Management | Conduct Post-Incident Reviews (Recover) (IG2, IG3)</t>
  </si>
  <si>
    <t>18.2 | Penetration Testing | Perform Periodic External Penetration Tests (Identify) (IG2, IG3)</t>
  </si>
  <si>
    <t>18.3 | Penetration Testing | Remediate Penetration Test Findings (Protect) (IG2, IG3)</t>
  </si>
  <si>
    <t>18.4 | Penetration Testing | Validate Security Measures (Protect) (IG3)</t>
  </si>
  <si>
    <t>18.5 | Penetration Testing | Perform Periodic Internal Penetration Tests (Identify) (IG3)</t>
  </si>
  <si>
    <t>1.1 | Inventory and Control of Enterprise Assets | Establish and Maintain Detailed Enterprise Asset Inventory (Identify) (IG1, IG2, IG3)</t>
  </si>
  <si>
    <t>2.1 | Inventory and Control of Software Assets | Establish and Maintain a Software Inventory (Identify) (IG1, IG2, IG3)</t>
  </si>
  <si>
    <t>3.1 | Data Protection | Establish and Maintain a Data Management Process (Identify) (IG1, IG2, IG3)</t>
  </si>
  <si>
    <t>3.2 | Data Protection | Establish and Maintain a Data Inventory (Identify) (IG1, IG2, IG3)</t>
  </si>
  <si>
    <t>3.7 | Data Protection | Establish and Maintain a Data Classification Scheme (Identify) (IG2, IG3)</t>
  </si>
  <si>
    <t>4.1 | Secure Configuration of Enterprise Assets and Software | Establish and Maintain a Secure Configuration Process (Protect) (IG1, IG2, IG3)</t>
  </si>
  <si>
    <t>4.2 | Secure Configuration of Enterprise Assets and Software | Establish and Maintain a Secure Configuration Process for Network Infrastructure (Protect) (IG1, IG2, IG3)</t>
  </si>
  <si>
    <t>5.1 | Account Management | Establish and Maintain an Inventory of Accounts (Identify) (IG1, IG2, IG3)</t>
  </si>
  <si>
    <t>5.5 | Account Management | Establish and Maintain an Inventory of Service Accounts (Identify) (IG2, IG3)</t>
  </si>
  <si>
    <t>6.1 | Access Control Management | Establish an Access Granting Process (Protect) (IG1, IG2, IG3)</t>
  </si>
  <si>
    <t>6.2 | Access Control Management | Establish an Access Revoking Process (Protect) (IG1, IG2, IG3)</t>
  </si>
  <si>
    <t>6.3 | Access Control Management | Require MFA for Externally-Exposed Applications (Protect) (IG1, IG2, IG3)</t>
  </si>
  <si>
    <t>6.4 | Access Control Management | Require MFA for Remote Network Access (Protect) (IG1, IG2, IG3)</t>
  </si>
  <si>
    <t>6.5 | Access Control Management | Require MFA for Administrative Access (Protect) (IG1, IG2, IG3)</t>
  </si>
  <si>
    <t>6.6 | Access Control Management | Establish and Maintain an Inventory of Authentication and Authorization Systems (Identify) (IG2, IG3)</t>
  </si>
  <si>
    <t>7.1 | Continuous Vulnerability Management | Establish and Maintain a Vulnerability Management Process (Protect) (IG1, IG2, IG3)</t>
  </si>
  <si>
    <t>7.2 | Continuous Vulnerability Management | Establish and Maintain a Remediation Process (Respond) (IG1, IG2, IG3)</t>
  </si>
  <si>
    <t>8.1 | Audit Log Management | Establish and Maintain an Audit Log Management Process (Protect) (IG1, IG2, IG3)</t>
  </si>
  <si>
    <t>11.1 | Data Recovery | Establish and Maintain a Data Recovery Process (Recover) (IG1, IG2, IG3)</t>
  </si>
  <si>
    <t>11.4 | Data Recovery | Establish and Maintain an Isolated Instance of Recovery Data (Recover) (IG1, IG2, IG3)</t>
  </si>
  <si>
    <t>12.1 | Network Infrastructure Management | Ensure Network Infrastructure is Up-to-Date (Protect) (IG1, IG2, IG3)</t>
  </si>
  <si>
    <t>12.2 | Network Infrastructure Management | Establish and Maintain a Secure Network Architecture (Protect) (IG2, IG3)</t>
  </si>
  <si>
    <t>12.4 | Network Infrastructure Management | Establish and Maintain Architecture Diagram(s) (Identify) (IG2, IG3)</t>
  </si>
  <si>
    <t>12.8 | Network Infrastructure Management | Establish and Maintain Dedicated Computing Resources For all Administrative Work (Protect) (IG3)</t>
  </si>
  <si>
    <t>14.1 | Security Awareness and Skills Training | Establish and Maintain a Security Awareness Program (Protect) (IG1, IG2, IG3)</t>
  </si>
  <si>
    <t>15.1 | Service Provider Management | Establish and Maintain an Inventory of Service Providers (Identify) (IG1, IG2, IG3)</t>
  </si>
  <si>
    <t>15.2 | Service Provider Management | Establish and Maintain a Service Provider Management Policy (Identify) (IG2, IG3)</t>
  </si>
  <si>
    <t>16.1 | Application Software Security | Establish and Maintain a Secure Application Development Process (Protect) (IG2, IG3)</t>
  </si>
  <si>
    <t>16.2 | Application Software Security | Establish and Maintain a Process to Accept and Address Software Vulnerabilities (Protect) (IG2, IG3)</t>
  </si>
  <si>
    <t>16.4 | Application Software Security | Establish and Manage an Inventory of Third-Party Software Components (Protect) (IG2, IG3)</t>
  </si>
  <si>
    <t>16.6 | Application Software Security | Establish and Maintain a Severity Rating System and Process for Application Vulnerabilities (Protect) (IG2, IG3)</t>
  </si>
  <si>
    <t>17.2 | Incident Response Management | Establish and Maintain Contact Information for Reporting Security Incidents (Respond) (IG1, IG2, IG3)</t>
  </si>
  <si>
    <t>17.3 | Incident Response Management | Establish and Maintain an Enterprise Process for Reporting Incidents (Respond) (IG1, IG2, IG3)</t>
  </si>
  <si>
    <t>17.4 | Incident Response Management | Establish and Maintain an Incident Response Process (Respond) (IG2, IG3)</t>
  </si>
  <si>
    <t>17.6 | Incident Response Management | Define Mechanisms for Communicating During Incident Response (Respond) (IG2, IG3)</t>
  </si>
  <si>
    <t>17.9 | Incident Response Management | Establish and Maintain Security Incident Thresholds (Recover) (IG3)</t>
  </si>
  <si>
    <t>18.1 | Penetration Testing | Establish and Maintain a Penetration Testing Program (Identify) (IG2, IG3)</t>
  </si>
  <si>
    <t>Data Management</t>
  </si>
  <si>
    <t>CSP</t>
  </si>
  <si>
    <t>TBD</t>
  </si>
  <si>
    <t>Dates</t>
  </si>
  <si>
    <t>Asset Designation</t>
  </si>
  <si>
    <t>Planned Project Starts</t>
  </si>
  <si>
    <t>Planned Project End</t>
  </si>
  <si>
    <t>Projects Completed</t>
  </si>
  <si>
    <t>Projects In Progress</t>
  </si>
  <si>
    <t>Current Maturity</t>
  </si>
  <si>
    <t>Total</t>
  </si>
  <si>
    <t>Current Threat Cluster</t>
  </si>
  <si>
    <t>Control Risk (MAX)</t>
  </si>
  <si>
    <t>High Risk Bar</t>
  </si>
  <si>
    <t>Critical Risk Bar</t>
  </si>
  <si>
    <t>Display Risk Level</t>
  </si>
  <si>
    <t>Expected Projects In Progress</t>
  </si>
  <si>
    <t>Chart Values</t>
  </si>
  <si>
    <t>Asset Classes</t>
  </si>
  <si>
    <t>IG1</t>
  </si>
  <si>
    <t>IG2</t>
  </si>
  <si>
    <t>IG3</t>
  </si>
  <si>
    <t>Defends Against Malware</t>
  </si>
  <si>
    <t>Defends Against Ransomware</t>
  </si>
  <si>
    <t>Defends Against Web App Hacking</t>
  </si>
  <si>
    <t>Defends Against Privilege Misuse</t>
  </si>
  <si>
    <t>Defends Against Targeted Intrusions</t>
  </si>
  <si>
    <t>No</t>
  </si>
  <si>
    <t>Yes</t>
  </si>
  <si>
    <t>Devices</t>
  </si>
  <si>
    <t>Applications</t>
  </si>
  <si>
    <t>Data</t>
  </si>
  <si>
    <t>Network</t>
  </si>
  <si>
    <t>Users</t>
  </si>
  <si>
    <t>N/A</t>
  </si>
  <si>
    <t>NIST CSF Safeguard Function</t>
  </si>
  <si>
    <t>Identify</t>
  </si>
  <si>
    <t>Respond</t>
  </si>
  <si>
    <t>Detect</t>
  </si>
  <si>
    <t>Protect</t>
  </si>
  <si>
    <t>Protect
Detect</t>
  </si>
  <si>
    <t>Protect
Detect
Respond</t>
  </si>
  <si>
    <t>Identify
Protect
Detect
Respond</t>
  </si>
  <si>
    <t xml:space="preserve">Detect
Respond
</t>
  </si>
  <si>
    <t>Recover</t>
  </si>
  <si>
    <t xml:space="preserve">Detect
Respond
Recover
</t>
  </si>
  <si>
    <t>Initial Recon</t>
  </si>
  <si>
    <t>Acquire / Develop Tools</t>
  </si>
  <si>
    <t>Delivery</t>
  </si>
  <si>
    <t>Initial Compromise</t>
  </si>
  <si>
    <t>Misuse /Escalate Privilege</t>
  </si>
  <si>
    <t>Internal Recon</t>
  </si>
  <si>
    <t>Lateral Movement</t>
  </si>
  <si>
    <t>Establish Persistence</t>
  </si>
  <si>
    <t>Execute Mission Objectives</t>
  </si>
  <si>
    <t>Social engineering</t>
  </si>
  <si>
    <t>Hacking web</t>
  </si>
  <si>
    <t>Ransomware Matrix</t>
  </si>
  <si>
    <t>Attack Stages</t>
  </si>
  <si>
    <t>CIS Controls (V8.0)</t>
  </si>
  <si>
    <t>Misuse / Escalate Privilege</t>
  </si>
  <si>
    <t>Functions</t>
  </si>
  <si>
    <t>This table represents the average of all unacceptable risks at each stage of the attack.  If the value is 0, there were no unacceptable risks identified.</t>
  </si>
  <si>
    <t>Legend</t>
  </si>
  <si>
    <t>Address this attack stage risks with priority</t>
  </si>
  <si>
    <t>These risks should be addressed after the high priority risks</t>
  </si>
  <si>
    <t>These risks are acceptable.</t>
  </si>
  <si>
    <t>Privilege Misuse Matrix</t>
  </si>
  <si>
    <t>Defends against All Attack Types</t>
  </si>
  <si>
    <t>Standard Control Description</t>
  </si>
  <si>
    <t>Establish and maintain an accurate, detailed, and up-to-date inventory of all enterprise assets with the potential to store or process data, to include: end-user devices (including portable and mobile), network devices, non-computing/IoT devices, and servers. Ensure the inventory records the network address (if static), hardware address, machine name, enterprise asset owner, department for each asset, and whether the asset has been approved to connect to the network. For mobile end-user devices, MDM type tools can support this process, where appropriate. This inventory includes assets connected to the infrastructure physically, virtually, remotely, and those within cloud environments. Additionally, it includes assets that are regularly connected to the enterprise’s network infrastructure, even if they are not under control of the enterprise. Review and update the inventory of all enterprise assets bi-annually, or more frequently.</t>
  </si>
  <si>
    <t>Ensure that a process exists to address unauthorized assets on a weekly basis. The enterprise may choose to remove the asset from the network, deny the asset from connecting remotely to the network, or quarantine the asset.</t>
  </si>
  <si>
    <t>Utilize an active discovery tool to identify assets connected to the enterprise’s network. Configure the active discovery tool to execute daily, or more frequently.</t>
  </si>
  <si>
    <t>Use DHCP logging on all DHCP servers or Internet Protocol (IP) address management tools to update the enterprise’s asset inventory. Review and use logs to update the enterprise’s asset inventory weekly, or more frequently.</t>
  </si>
  <si>
    <t>Use a passive discovery tool to identify assets connected to the enterprise’s network. Review and use scans to update the enterprise’s asset inventory at least weekly, or more frequently.</t>
  </si>
  <si>
    <t>Establish and maintain a detailed inventory of all licensed software installed on enterprise assets. The software inventory must document the title, publisher, initial install/use date, and business purpose for each entry; where appropriate, include the Uniform Resource Locator (URL), app store(s), version(s), deployment mechanism, and decommission date. Review and update the software inventory bi-annually, or more frequently.</t>
  </si>
  <si>
    <t>Ensure that only currently supported software is designated as authorized in the software inventory for enterprise assets. If software is unsupported, yet necessary for the fulfillment of the enterprise’s mission, document an exception detailing mitigating controls and residual risk acceptance. For any unsupported software without an exception documentation, designate as unauthorized. Review the software list to verify software support at least monthly, or more frequently.</t>
  </si>
  <si>
    <t>Ensure that unauthorized software is either removed from use on enterprise assets or receives a documented exception. Review monthly, or more frequently.</t>
  </si>
  <si>
    <t xml:space="preserve">Utilize software inventory tools, when possible, throughout the enterprise to automate the discovery and documentation of installed software. </t>
  </si>
  <si>
    <t>Use technical controls, such as application allowlisting, to ensure that only authorized software can execute or be accessed. Reassess bi-annually, or more frequently.</t>
  </si>
  <si>
    <t xml:space="preserve"> Use technical controls to ensure that only authorized software libraries, such as specific .dll, .ocx, .so, etc., files, are allowed to load into a system process. Block unauthorized libraries from loading into a system process. Reassess bi-annually, or more frequently.</t>
  </si>
  <si>
    <t>Use technical controls, such as digital signatures and version control, to ensure that only authorized scripts, such as specific .ps1, .py, etc., files, are allowed to execute. Block unauthorized scripts from executing. Reassess bi-annually, or more frequently.</t>
  </si>
  <si>
    <t>Establish and maintain a data management process. In the process, address data sensitivity, data owner, handling of data, data retention limits, and disposal requirements, based on sensitivity and retention standards for the enterprise. Review and update documentation annually, or when significant enterprise changes occur that could impact this Safeguard.</t>
  </si>
  <si>
    <t>Establish and maintain a data inventory, based on the enterprise’s data management process. Inventory sensitive data, at a minimum. Review and update inventory annually, at a minimum, with a priority on sensitive data.</t>
  </si>
  <si>
    <t>Configure data access control lists based on a user’s need to know. Apply data access control lists, also known as access permissions, to local and remote file systems, databases, and applications.</t>
  </si>
  <si>
    <t>Retain data according to the enterprise’s data management process. Data retention must include both minimum and maximum timelines.</t>
  </si>
  <si>
    <t>Securely dispose of data as outlined in the enterprise’s data management process. Ensure the disposal process and method are commensurate with the data sensitivity.</t>
  </si>
  <si>
    <t>Encrypt data on end-user devices containing sensitive data. Example implementations can include: Windows BitLocker®, Apple FileVault®, Linux® dm-crypt.</t>
  </si>
  <si>
    <t>Establish and maintain an overall data classification scheme for the enterprise. Enterprises may use labels, such as “Sensitive,” “Confidential,” and “Public,” and classify their data according to those labels. Review and update the classification scheme annually, or when significant enterprise changes occur that could impact this Safeguard.</t>
  </si>
  <si>
    <t>Document data flows. Data flow documentation includes service provider data flows and should be based on the enterprise’s data management process. Review and update documentation annually, or when significant enterprise changes occur that could impact this Safeguard.</t>
  </si>
  <si>
    <t>Encrypt data on removable media.</t>
  </si>
  <si>
    <t>Encrypt sensitive data in transit. Example implementations can include: Transport Layer Security (TLS) and Open Secure Shell (OpenSSH).</t>
  </si>
  <si>
    <t xml:space="preserve">Encrypt sensitive data at rest on servers, applications, and databases containing sensitive data. Storage-layer encryption, also known as server-side encryption, meets the minimum requirement of this Safeguard. Additional encryption methods may include application-layer encryption, also known as client-side encryption, where access to the data storage device(s) does not permit access to the plain-text data. </t>
  </si>
  <si>
    <t>Segment data processing and storage based on the sensitivity of the data. Do not process sensitive data on enterprise assets intended for lower sensitivity data.</t>
  </si>
  <si>
    <t>Implement an automated tool, such as a host-based Data Loss Prevention (DLP) tool to identify all sensitive data stored, processed, or transmitted through enterprise assets, including those located onsite or at a remote service provider, and update the enterprise's sensitive data inventory.</t>
  </si>
  <si>
    <t xml:space="preserve">Log sensitive data access, including modification and disposal. </t>
  </si>
  <si>
    <t>Establish and maintain a secure configuration process for enterprise assets (end-user devices, including portable and mobile, non-computing/IoT devices, and servers) and software (operating systems and applications). Review and update documentation annually, or when significant enterprise changes occur that could impact this Safeguard.</t>
  </si>
  <si>
    <t>Establish and maintain a secure configuration process for network devices. Review and update documentation annually, or when significant enterprise changes occur that could impact this Safeguard.</t>
  </si>
  <si>
    <t>Configure automatic session locking on enterprise assets after a defined period of inactivity. For general purpose operating systems, the period must not exceed 15 minutes. For mobile end-user devices, the period must not exceed 2 minutes.</t>
  </si>
  <si>
    <t>Implement and manage a firewall on servers, where supported. Example implementations include a virtual firewall, operating system firewall, or a third-party firewall agent.</t>
  </si>
  <si>
    <t>Implement and manage a host-based firewall or port-filtering tool on end-user devices, with a default-deny rule that drops all traffic except those services and ports that are explicitly allowed.</t>
  </si>
  <si>
    <t>Securely manage enterprise assets and software. Example implementations include managing configuration through version-controlled-infrastructure-as-code and accessing administrative interfaces over secure network protocols, such as Secure Shell (SSH) and Hypertext Transfer Protocol Secure (HTTPS). Do not use insecure management protocols, such as Telnet (Teletype Network) and HTTP, unless operationally essential.</t>
  </si>
  <si>
    <t>Manage default accounts on enterprise assets and software, such as root, administrator, and other pre-configured vendor accounts. Example implementations can include: disabling default accounts or making them unusable.</t>
  </si>
  <si>
    <t>Uninstall or disable unnecessary services on enterprise assets and software, such as an unused file sharing service, web application module, or service function.</t>
  </si>
  <si>
    <t xml:space="preserve">Configure trusted DNS servers on enterprise assets. Example implementations include: configuring assets to use enterprise-controlled DNS servers and/or reputable externally accessible DNS servers. </t>
  </si>
  <si>
    <t>Remotely wipe enterprise data from enterprise-owned portable end-user devices when deemed appropriate such as lost or stolen devices, or when an individual no longer supports the enterprise.</t>
  </si>
  <si>
    <t>Ensure separate enterprise workspaces are used on mobile end-user devices, where supported. Example implementations include using an Apple® Configuration Profile or Android™ Work Profile to separate enterprise applications and data from personal applications and data.</t>
  </si>
  <si>
    <t>Establish and maintain an inventory of all accounts managed in the enterprise. The inventory must include both user and administrator accounts. The inventory, at a minimum, should contain the person’s name, username, start/stop dates, and department. Validate that all active accounts are authorized, on a recurring schedule at a minimum quarterly, or more frequently.</t>
  </si>
  <si>
    <t xml:space="preserve">Use unique passwords for all enterprise assets. Best practice implementation includes, at a minimum, an 8-character password for accounts using MFA and a 14-character password for accounts not using MFA. </t>
  </si>
  <si>
    <t>Delete or disable any dormant accounts after a period of 45 days of inactivity, where supported.</t>
  </si>
  <si>
    <t>Restrict administrator privileges to dedicated administrator accounts on enterprise assets. Conduct general computing activities, such as internet browsing, email, and productivity suite use, from the user’s primary, non-privileged account.</t>
  </si>
  <si>
    <t>Establish and maintain an inventory of service accounts. The inventory, at a minimum, must contain department owner, review date, and purpose. Perform service account reviews to validate that all active accounts are authorized, on a recurring schedule at a minimum quarterly, or more frequently.</t>
  </si>
  <si>
    <t>Centralize account management through a directory or identity service.</t>
  </si>
  <si>
    <t>Establish and follow a process, preferably automated, for granting access to enterprise assets upon new hire, rights grant, or role change of a user.</t>
  </si>
  <si>
    <t>Establish and follow a process, preferably automated, for revoking access to enterprise assets, through disabling accounts immediately upon termination, rights revocation, or role change of a user. Disabling accounts, instead of deleting accounts, may be necessary to preserve audit trails.</t>
  </si>
  <si>
    <t>Require all externally-exposed enterprise or third-party applications to enforce MFA, where supported. Enforcing MFA through a directory service or SSO provider is a satisfactory implementation of this Safeguard.</t>
  </si>
  <si>
    <t>Require MFA for remote network access.</t>
  </si>
  <si>
    <t>Require MFA for all administrative access accounts, where supported, on all enterprise assets, whether managed on-site or through a third-party provider.</t>
  </si>
  <si>
    <t>Establish and maintain an inventory of the enterprise’s authentication and authorization systems, including those hosted on-site or at a remote service provider. Review and update the inventory, at a minimum, annually, or more frequently.</t>
  </si>
  <si>
    <t>Centralize access control for all enterprise assets through a directory service or SSO provider, where supported.</t>
  </si>
  <si>
    <t>Define and maintain role-based access control, through determining and documenting the access rights necessary for each role within the enterprise to successfully carry out its assigned duties. Perform access control reviews of enterprise assets to validate that all privileges are authorized, on a recurring schedule at a minimum annually, or more frequently.</t>
  </si>
  <si>
    <t>Establish and maintain a documented vulnerability management process for enterprise assets. Review and update documentation annually, or when significant enterprise changes occur that could impact this Safeguard.</t>
  </si>
  <si>
    <t>Establish and maintain a risk-based remediation strategy documented in a remediation process, with monthly, or more frequent, reviews.</t>
  </si>
  <si>
    <t>Perform operating system updates on enterprise assets through automated patch management on a monthly, or more frequent, basis.</t>
  </si>
  <si>
    <t>Perform application updates on enterprise assets through automated patch management on a monthly, or more frequent, basis.</t>
  </si>
  <si>
    <t>Perform automated vulnerability scans of internal enterprise assets on a quarterly, or more frequent, basis. Conduct both authenticated and unauthenticated scans, using a SCAP-compliant vulnerability scanning tool.</t>
  </si>
  <si>
    <t xml:space="preserve">Perform automated vulnerability scans of externally-exposed enterprise assets using a SCAP-compliant vulnerability scanning tool. Perform scans on a monthly, or more frequent, basis. </t>
  </si>
  <si>
    <t>Remediate detected vulnerabilities in software through processes and tooling on a monthly, or more frequent, basis, based on the remediation process.</t>
  </si>
  <si>
    <t>Establish and maintain an audit log management process that defines the enterprise’s logging requirements. At a minimum, address the collection, review, and retention of audit logs for enterprise assets. Review and update documentation annually, or when significant enterprise changes occur that could impact this Safeguard.</t>
  </si>
  <si>
    <t>Collect audit logs. Ensure that logging, per the enterprise’s audit log management process, has been enabled across enterprise assets.</t>
  </si>
  <si>
    <t>Ensure that logging destinations maintain adequate storage to comply with the enterprise’s audit log management process.</t>
  </si>
  <si>
    <t>Standardize time synchronization. Configure at least two synchronized time sources across enterprise assets, where supported.</t>
  </si>
  <si>
    <t>Configure detailed audit logging for enterprise assets containing sensitive data. Include event source, date, username, timestamp, source addresses, destination addresses, and other useful elements that could assist in a forensic investigation.</t>
  </si>
  <si>
    <t>Collect DNS query audit logs on enterprise assets, where appropriate and supported.</t>
  </si>
  <si>
    <t>Collect URL request audit logs on enterprise assets, where appropriate and supported.</t>
  </si>
  <si>
    <t>Collect command-line audit logs. Example implementations include collecting audit logs from PowerShell®, BASH™, and remote administrative terminals.</t>
  </si>
  <si>
    <t>Centralize, to the extent possible, audit log collection and retention across enterprise assets.</t>
  </si>
  <si>
    <t>Retain audit logs across enterprise assets for a minimum of 90 days.</t>
  </si>
  <si>
    <t>Conduct reviews of audit logs to detect anomalies or abnormal events that could indicate a potential threat. Conduct reviews on a weekly, or more frequent, basis.</t>
  </si>
  <si>
    <t>Collect service provider logs, where supported. Example implementations include collecting authentication and authorization events, data creation and disposal events, and user management events.</t>
  </si>
  <si>
    <t>Ensure only fully supported browsers and email clients are allowed to execute in the enterprise, only using the latest version of browsers and email clients provided through the vendor.</t>
  </si>
  <si>
    <t>Use DNS filtering services on all enterprise assets to block access to known malicious domains.</t>
  </si>
  <si>
    <t>Enforce and update network-based URL filters to limit an enterprise asset from connecting to potentially malicious or unapproved websites. Example implementations include category-based filtering, reputation-based filtering, or through the use of block lists. Enforce filters for all enterprise assets.</t>
  </si>
  <si>
    <t>Restrict, either through uninstalling or disabling, any unauthorized or unnecessary browser or email client plugins, extensions, and add-on applications.</t>
  </si>
  <si>
    <t>To lower the chance of spoofed or modified emails from valid domains, implement DMARC policy and verification, starting with implementing the Sender Policy Framework (SPF) and the DomainKeys Identified Mail (DKIM) standards.</t>
  </si>
  <si>
    <t>Block unnecessary file types attempting to enter the enterprise’s email gateway.</t>
  </si>
  <si>
    <t>Deploy and maintain email server anti-malware protections, such as attachment scanning and/or sandboxing.</t>
  </si>
  <si>
    <t>Deploy and maintain anti-malware software on all enterprise assets.</t>
  </si>
  <si>
    <t>Configure automatic updates for anti-malware signature files on all enterprise assets.</t>
  </si>
  <si>
    <t>Disable autorun and autoplay auto-execute functionality for removable media.</t>
  </si>
  <si>
    <t>Configure anti-malware software to automatically scan removable media.</t>
  </si>
  <si>
    <t>Enable anti-exploitation features on enterprise assets and software, where possible, such as Microsoft® Data Execution Prevention (DEP), Windows® Defender Exploit Guard (WDEG), or Apple® System Integrity Protection (SIP) and Gatekeeper™.</t>
  </si>
  <si>
    <t>Centrally manage anti-malware software.</t>
  </si>
  <si>
    <t>Use behavior-based anti-malware software.</t>
  </si>
  <si>
    <t xml:space="preserve">Establish and maintain a data recovery process. In the process, address the scope of data recovery activities, recovery prioritization, and the security of backup data. Review and update documentation annually, or when significant enterprise changes occur that could impact this Safeguard. </t>
  </si>
  <si>
    <t>Perform automated backups of in-scope enterprise assets. Run backups weekly, or more frequently, based on the sensitivity of the data.</t>
  </si>
  <si>
    <t>Protect recovery data with equivalent controls to the original data. Reference encryption or data separation, based on requirements.</t>
  </si>
  <si>
    <t>Establish and maintain an isolated instance of recovery data. Example implementations include, version controlling backup destinations through offline, cloud, or off-site systems or services.</t>
  </si>
  <si>
    <t>Test backup recovery quarterly, or more frequently, for a sampling of in-scope enterprise assets.</t>
  </si>
  <si>
    <t>Ensure network infrastructure is kept up-to-date. Example implementations include running the latest stable release of software and/or using currently supported network-as-a-service (NaaS) offerings. Review software versions monthly, or more frequently, to verify software support.</t>
  </si>
  <si>
    <t>Establish and maintain a secure network architecture. A secure network architecture must address segmentation, least privilege, and availability, at a minimum.</t>
  </si>
  <si>
    <t xml:space="preserve">Securely manage network infrastructure. Example implementations include version-controlled-infrastructure-as-code, and the use of secure network protocols, such as SSH and HTTPS. </t>
  </si>
  <si>
    <t>Establish and maintain architecture diagram(s) and/or other network system documentation. Review and update documentation annually, or when significant enterprise changes occur that could impact this Safeguard.</t>
  </si>
  <si>
    <t>Centralize network AAA.</t>
  </si>
  <si>
    <t>Use secure network management and communication protocols (e.g., 802.1X, Wi-Fi Protected Access 2 (WPA2) Enterprise or greater).</t>
  </si>
  <si>
    <t>Require users to authenticate to enterprise-managed VPN and authentication services prior to accessing enterprise resources on end-user devices.</t>
  </si>
  <si>
    <t>Establish and maintain dedicated computing resources, either physically or logically separated, for all administrative tasks or tasks requiring administrative access. The computing resources should be segmented from the enterprise's primary network and not be allowed internet access.</t>
  </si>
  <si>
    <t>Centralize security event alerting across enterprise assets for log correlation and analysis. Best practice implementation requires the use of a SIEM, which includes vendor-defined event correlation alerts. A log analytics platform configured with security-relevant correlation alerts also satisfies this Safeguard.</t>
  </si>
  <si>
    <t>Deploy a host-based intrusion detection solution on enterprise assets, where appropriate and/or supported.</t>
  </si>
  <si>
    <t>Deploy a network intrusion detection solution on enterprise assets, where appropriate. Example implementations include the use of a Network Intrusion Detection System (NIDS) or equivalent cloud service provider (CSP) service.</t>
  </si>
  <si>
    <t>Perform traffic filtering between network segments, where appropriate.</t>
  </si>
  <si>
    <t xml:space="preserve">Manage access control for assets remotely connecting to enterprise resources. Determine amount of access to enterprise resources based on: up-to-date anti-malware software installed, configuration compliance with the enterprise’s secure configuration process, and ensuring the operating system and applications are up-to-date.	 </t>
  </si>
  <si>
    <t>Collect network traffic flow logs and/or network traffic to review and alert upon from network devices.</t>
  </si>
  <si>
    <t xml:space="preserve"> Deploy a host-based intrusion prevention solution on enterprise assets, where appropriate and/or supported. Example implementations include use of an Endpoint Detection and Response (EDR) client or host-based IPS agent.</t>
  </si>
  <si>
    <t>Deploy a network intrusion prevention solution, where appropriate. Example implementations include the use of a Network Intrusion Prevention System (NIPS) or equivalent CSP service.</t>
  </si>
  <si>
    <t>Deploy port-level access control. Port-level access control utilizes 802.1x, or similar network access control protocols, such as certificates, and may incorporate user and/or device authentication.</t>
  </si>
  <si>
    <t>Perform application layer filtering. Example implementations include a filtering proxy, application layer firewall, or gateway.</t>
  </si>
  <si>
    <t>Tune security event alerting thresholds monthly, or more frequently.</t>
  </si>
  <si>
    <t>Establish and maintain a security awareness program. The purpose of a security awareness program is to educate the enterprise’s workforce on how to interact with enterprise assets and data in a secure manner. Conduct training at hire and, at a minimum, annually. Review and update content annually, or when significant enterprise changes occur that could impact this Safeguard.</t>
  </si>
  <si>
    <t>Train workforce members to recognize social engineering attacks, such as phishing, pre-texting, and tailgating. </t>
  </si>
  <si>
    <t>Train workforce members on authentication best practices. Example topics include MFA, password composition, and credential management.</t>
  </si>
  <si>
    <t>Train workforce members on how to identify and properly store, transfer, archive, and destroy sensitive data. This also includes training workforce members on clear screen and desk best practices, such as locking their screen when they step away from their enterprise asset, erasing physical and virtual whiteboards at the end of meetings, and storing data and assets securely.</t>
  </si>
  <si>
    <t>Train workforce members to be aware of causes for unintentional data exposure. Example topics include mis-delivery of sensitive data, losing a portable end-user device, or publishing data to unintended audiences.</t>
  </si>
  <si>
    <t>Train workforce members to be able to recognize a potential incident and be able to report such an incident. </t>
  </si>
  <si>
    <t>Train workforce to understand how to verify and report out-of-date software patches or any failures in automated processes and tools. Part of this training should include notifying IT personnel of any failures in automated processes and tools.</t>
  </si>
  <si>
    <t>Train workforce members on the dangers of connecting to, and transmitting data over, insecure networks for enterprise activities. If the enterprise has remote workers, training must include guidance to ensure that all users securely configure their home network infrastructure.</t>
  </si>
  <si>
    <t>Conduct role-specific security awareness and skills training. Example implementations include secure system administration courses for IT professionals, OWASP® Top 10 vulnerability awareness and prevention training for web application developers, and advanced social engineering awareness training for high-profile roles.</t>
  </si>
  <si>
    <t xml:space="preserve">Establish and maintain an inventory of service providers. The inventory is to list all known service providers, include classification(s), and designate an enterprise contact for each service provider. Review and update the inventory annually, or when significant enterprise changes occur that could impact this Safeguard. </t>
  </si>
  <si>
    <t>Establish and maintain a service provider management policy. Ensure the policy addresses the classification, inventory, assessment, monitoring, and decommissioning of service providers. Review and update the policy annually, or when significant enterprise changes occur that could impact this Safeguard.</t>
  </si>
  <si>
    <t>Classify service providers. Classification consideration may include one or more characteristics, such as data sensitivity, data volume, availability requirements, applicable regulations, inherent risk, and mitigated risk. Update and review classifications annually, or when significant enterprise changes occur that could impact this Safeguard.</t>
  </si>
  <si>
    <t>Ensure service provider contracts include security requirements. Example requirements may include minimum security program requirements, security incident and/or data breach notification and response, data encryption requirements, and data disposal commitments. These security requirements must be consistent with the enterprise’s service provider management policy. Review service provider contracts annually to ensure contracts are not missing security requirements.</t>
  </si>
  <si>
    <t>Assess service providers consistent with the enterprise’s service provider management policy. Assessment scope may vary based on classification(s), and may include review of standardized assessment reports, such as Service Organization Control 2 (SOC 2) and Payment Card Industry (PCI) Attestation of Compliance (AoC), customized questionnaires, or other appropriately rigorous processes. Reassess service providers annually, at a minimum, or with new and renewed contracts.</t>
  </si>
  <si>
    <t>Monitor service providers consistent with the enterprise’s service provider management policy. Monitoring may include periodic reassessment of service provider compliance, monitoring service provider release notes, and dark web monitoring.</t>
  </si>
  <si>
    <t xml:space="preserve">Securely decommission service providers. Example considerations include user and service account deactivation, termination of data flows, and secure disposal of enterprise data within service provider systems. </t>
  </si>
  <si>
    <t>Establish and maintain a secure application development process. In the process, address such items as: secure application design standards, secure coding practices, developer training, vulnerability management, security of third-party code, and application security testing procedures. Review and update documentation annually, or when significant enterprise changes occur that could impact this Safeguard.</t>
  </si>
  <si>
    <t xml:space="preserve">Establish and maintain a process to accept and address reports of software vulnerabilities, including providing a means for external entities to report. The process is to include such items as: a vulnerability handling policy that identifies reporting process, responsible party for handling vulnerability reports, and a process for intake, assignment, remediation, and remediation testing. As part of the process, use a vulnerability tracking system that includes severity ratings, and metrics for measuring timing for identification, analysis, and remediation of vulnerabilities. Review and update documentation annually, or when significant enterprise changes occur that could impact this Safeguard.
Third-party application developers need to consider this an externally-facing policy that helps to set expectations for outside stakeholders. </t>
  </si>
  <si>
    <t>Perform root cause analysis on security vulnerabilities. When reviewing vulnerabilities, root cause analysis is the task of evaluating underlying issues that create vulnerabilities in code, and allows development teams to move beyond just fixing individual vulnerabilities as they arise.</t>
  </si>
  <si>
    <t>Establish and manage an updated inventory of third-party components used in development, often referred to as a “bill of materials,” as well as components slated for future use. This inventory is to include any risks that each third-party component could pose. Evaluate the list at least monthly to identify any changes or updates to these components, and validate that the component is still supported. </t>
  </si>
  <si>
    <t>Use up-to-date and trusted third-party software components. When possible, choose established and proven frameworks and libraries that provide adequate security. Acquire these components from trusted sources or evaluate the software for vulnerabilities before use.</t>
  </si>
  <si>
    <t>Establish and maintain a severity rating system and process for application vulnerabilities that facilitates prioritizing the order in which discovered vulnerabilities are fixed. This process includes setting a minimum level of security acceptability for releasing code or applications. Severity ratings bring a systematic way of triaging vulnerabilities that improves risk management and helps ensure the most severe bugs are fixed first. Review and update the system and process annually.</t>
  </si>
  <si>
    <t>Use standard, industry-recommended hardening configuration templates for application infrastructure components. This includes underlying servers, databases, and web servers, and applies to cloud containers, Platform as a Service (PaaS) components, and SaaS components. Do not allow in-house developed software to weaken configuration hardening.</t>
  </si>
  <si>
    <t>Maintain separate environments for production and non-production systems.</t>
  </si>
  <si>
    <t>Ensure that all software development personnel receive training in writing secure code for their specific development environment and responsibilities. Training can include general security principles and application security standard practices. Conduct training at least annually and design in a way to promote security within the development team, and build a culture of security among the developers.</t>
  </si>
  <si>
    <t>Apply secure design principles in application architectures. Secure design principles include the concept of least privilege and enforcing mediation to validate every operation that the user makes, promoting the concept of "never trust user input." Examples include ensuring that explicit error checking is performed and documented for all input, including for size, data type, and acceptable ranges or formats. Secure design also means minimizing the application infrastructure attack surface, such as turning off unprotected ports and services, removing unnecessary programs and files, and renaming or removing default accounts.</t>
  </si>
  <si>
    <t>Leverage vetted modules or services for application security components, such as identity management, encryption, and auditing and logging. Using platform features in critical security functions will reduce developers’ workload and minimize the likelihood of design or implementation errors. Modern operating systems provide effective mechanisms for identification, authentication, and authorization and make those mechanisms available to applications. Use only standardized, currently accepted, and extensively reviewed encryption algorithms. Operating systems also provide mechanisms to create and maintain secure audit logs.</t>
  </si>
  <si>
    <t>Apply static and dynamic analysis tools within the application life cycle to verify that secure coding practices are being followed.</t>
  </si>
  <si>
    <t>Conduct application penetration testing. For critical applications, authenticated penetration testing is better suited to finding business logic vulnerabilities than code scanning and automated security testing. Penetration testing relies on the skill of the tester to manually manipulate an application as an authenticated and unauthenticated user. </t>
  </si>
  <si>
    <t>Conduct threat modeling. Threat modeling is the process of identifying and addressing application security design flaws within a design, before code is created. It is conducted through specially trained individuals who evaluate the application design and gauge security risks for each entry point and access level. The goal is to map out the application, architecture, and infrastructure in a structured way to understand its weaknesses.</t>
  </si>
  <si>
    <t>Designate one key person, and at least one backup, who will manage the enterprise’s incident handling process. Management personnel are responsible for the coordination and documentation of incident response and recovery efforts and can consist of employees internal to the enterprise, third-party vendors, or a hybrid approach. If using a third-party vendor, designate at least one person internal to the enterprise to oversee any third-party work. Review annually, or when significant enterprise changes occur that could impact this Safeguard.</t>
  </si>
  <si>
    <t>Establish and maintain contact information for parties that need to be informed of security incidents. Contacts may include internal staff, third-party vendors, law enforcement, cyber insurance providers, relevant government agencies, Information Sharing and Analysis Center (ISAC) partners, or other stakeholders. Verify contacts annually to ensure that information is up-to-date.</t>
  </si>
  <si>
    <t>Establish and maintain an enterprise process for the workforce to report security incidents. The process includes reporting timeframe, personnel to report to, mechanism for reporting, and the minimum information to be reported. Ensure the process is publicly available to all of the workforce. Review annually, or when significant enterprise changes occur that could impact this Safeguard.</t>
  </si>
  <si>
    <t>Establish and maintain an incident response process that addresses roles and responsibilities, compliance requirements, and a communication plan. Review annually, or when significant enterprise changes occur that could impact this Safeguard.</t>
  </si>
  <si>
    <t>Assign key roles and responsibilities for incident response, including staff from legal, IT, information security, facilities, public relations, human resources, incident responders, and analysts, as applicable. Review annually, or when significant enterprise changes occur that could impact this Safeguard.</t>
  </si>
  <si>
    <t>Determine which primary and secondary mechanisms will be used to communicate and report during a security incident. Mechanisms can include phone calls, emails, or letters. Keep in mind that certain mechanisms, such as emails, can be affected during a security incident. Review annually, or when significant enterprise changes occur that could impact this Safeguard.</t>
  </si>
  <si>
    <t>Plan and conduct routine incident response exercises and scenarios for key personnel involved in the incident response process to prepare for responding to real-world incidents. Exercises need to test communication channels, decision making, and workflows. Conduct testing on an annual basis, at a minimum.</t>
  </si>
  <si>
    <t>Conduct post-incident reviews. Post-incident reviews help prevent incident recurrence through identifying lessons learned and follow-up action.</t>
  </si>
  <si>
    <t>Establish and maintain security incident thresholds, including, at a minimum, differentiating between an incident and an event. Examples can include: abnormal activity, security vulnerability, security weakness, data breach, privacy incident, etc. Review annually, or when significant enterprise changes occur that could impact this Safeguard.</t>
  </si>
  <si>
    <t>Establish and maintain a penetration testing program appropriate to the size, complexity, and maturity of the enterprise. Penetration testing program characteristics include scope, such as network, web application, Application Programming Interface (API), hosted services, and physical premise controls; frequency; limitations, such as acceptable hours, and excluded attack types; point of contact information; remediation, such as how findings will be routed internally; and retrospective requirements.</t>
  </si>
  <si>
    <t>Perform periodic external penetration tests based on program requirements, no less than annually. External penetration testing must include enterprise and environmental reconnaissance to detect exploitable information. Penetration testing requires specialized skills and experience and must be conducted through a qualified party. The testing may be clear box or opaque box.</t>
  </si>
  <si>
    <t>Remediate penetration test findings based on the enterprise’s policy for remediation scope and prioritization.</t>
  </si>
  <si>
    <t>Validate security measures after each penetration test. If deemed necessary, modify rulesets and capabilities to detect the techniques used during testing.</t>
  </si>
  <si>
    <t>Perform periodic internal penetration tests based on program requirements, no less than annually. The testing may be clear box or opaque box.</t>
  </si>
  <si>
    <t>Type in Org Abbreviation for Lookups here:</t>
  </si>
  <si>
    <t>Environment</t>
  </si>
  <si>
    <t>On-Premises</t>
  </si>
  <si>
    <t>Cloud - AWS</t>
  </si>
  <si>
    <t>Cloud - Azure</t>
  </si>
  <si>
    <t>Cloud - GCP</t>
  </si>
  <si>
    <t>Hybrid - AWS</t>
  </si>
  <si>
    <t>Hybrid - Azure</t>
  </si>
  <si>
    <t>Hybrid - GCP</t>
  </si>
  <si>
    <t>None - N/A</t>
  </si>
  <si>
    <t>Multiple Environments</t>
  </si>
  <si>
    <t>Other</t>
  </si>
  <si>
    <t>Industry</t>
  </si>
  <si>
    <t>Administrative</t>
  </si>
  <si>
    <t>Banks and Credit Unions</t>
  </si>
  <si>
    <t>Educational</t>
  </si>
  <si>
    <t>Finance - Non-Banking</t>
  </si>
  <si>
    <t>Healthcare</t>
  </si>
  <si>
    <t>Hospitality</t>
  </si>
  <si>
    <t>Information Services</t>
  </si>
  <si>
    <t>Manufacturing</t>
  </si>
  <si>
    <t>Not for Profit</t>
  </si>
  <si>
    <t>Professional Services</t>
  </si>
  <si>
    <t>Public Government</t>
  </si>
  <si>
    <t>Retail</t>
  </si>
  <si>
    <t>Efforts</t>
  </si>
  <si>
    <t>SICK ProTrak</t>
  </si>
  <si>
    <t>Boarding Page</t>
  </si>
  <si>
    <t>Interview Scheduler</t>
  </si>
  <si>
    <t>Combined Controls Matrix</t>
  </si>
  <si>
    <t>Risk Register</t>
  </si>
  <si>
    <t>Risk Register QA/QC</t>
  </si>
  <si>
    <t>Risk Treatment Plan</t>
  </si>
  <si>
    <t>Risk Register Review</t>
  </si>
  <si>
    <t>ProTrak</t>
  </si>
  <si>
    <t>Solutions Workshop I</t>
  </si>
  <si>
    <t>Solutions Workshop II</t>
  </si>
  <si>
    <t>Risk Treatment Roadmap</t>
  </si>
  <si>
    <t>Final Presentation and Report</t>
  </si>
  <si>
    <t>Project Closure</t>
  </si>
  <si>
    <t>Projects</t>
  </si>
  <si>
    <t>Weekly Meeting</t>
  </si>
  <si>
    <t>Policy Library</t>
  </si>
  <si>
    <t>Incident Response Readiness</t>
  </si>
  <si>
    <t>Configuration Management</t>
  </si>
  <si>
    <t>Asset Protection and Maintenance</t>
  </si>
  <si>
    <t>DevOps/SDLC</t>
  </si>
  <si>
    <t>Identity and Access Management</t>
  </si>
  <si>
    <t>SIEM Implementation</t>
  </si>
  <si>
    <t>BC/DR Planning</t>
  </si>
  <si>
    <t>Insider Threat Management</t>
  </si>
  <si>
    <t>Third Party Vendor Management</t>
  </si>
  <si>
    <t>Risk Management Program</t>
  </si>
  <si>
    <t>Category</t>
  </si>
  <si>
    <t>HALOCK Consulting</t>
  </si>
  <si>
    <t>Antivirus/Malware</t>
  </si>
  <si>
    <t>Third Party Assessments</t>
  </si>
  <si>
    <t>SIEM Solutions</t>
  </si>
  <si>
    <t>Network Management</t>
  </si>
  <si>
    <t>Managed Services</t>
  </si>
  <si>
    <t>Vulnerability and Patching</t>
  </si>
  <si>
    <t>Threat Monitoring</t>
  </si>
  <si>
    <t>Web Application Firewall</t>
  </si>
  <si>
    <t>Identity/Access Management</t>
  </si>
  <si>
    <t>Sensitive Data Scanning</t>
  </si>
  <si>
    <t>Organization Structure</t>
  </si>
  <si>
    <t>Functional</t>
  </si>
  <si>
    <t>Departmental</t>
  </si>
  <si>
    <t>Matrix</t>
  </si>
  <si>
    <t>Hierarchical</t>
  </si>
  <si>
    <t>Flat</t>
  </si>
  <si>
    <t>Nonexistent</t>
  </si>
  <si>
    <t>Some Informal Documentation</t>
  </si>
  <si>
    <t>Policies not aligned to Framework</t>
  </si>
  <si>
    <t>Policies aligned to Framework</t>
  </si>
  <si>
    <t>Aligned Policies and Standards</t>
  </si>
  <si>
    <t>Robust Policy Management Program</t>
  </si>
  <si>
    <t>CSP Type</t>
  </si>
  <si>
    <t>Program</t>
  </si>
  <si>
    <t>Assets</t>
  </si>
  <si>
    <t>Personnel</t>
  </si>
  <si>
    <t>Physical</t>
  </si>
  <si>
    <t>Not Started</t>
  </si>
  <si>
    <t>Initiated</t>
  </si>
  <si>
    <t>Working</t>
  </si>
  <si>
    <t>3rd Party Action</t>
  </si>
  <si>
    <t>QA/QC</t>
  </si>
  <si>
    <t>Completed</t>
  </si>
  <si>
    <t>Urgent</t>
  </si>
  <si>
    <t>Vendor 1</t>
  </si>
  <si>
    <t>Vendor 2</t>
  </si>
  <si>
    <t>Vendor 3</t>
  </si>
  <si>
    <t>Vendor 4</t>
  </si>
  <si>
    <t>SICK Responsibility</t>
  </si>
  <si>
    <t>Lead Consultant</t>
  </si>
  <si>
    <t>Partner</t>
  </si>
  <si>
    <t>Account Manager</t>
  </si>
  <si>
    <t>Operations Manager</t>
  </si>
  <si>
    <t>Year</t>
  </si>
  <si>
    <t>Year 1</t>
  </si>
  <si>
    <t>Year 2</t>
  </si>
  <si>
    <t>Year 3</t>
  </si>
  <si>
    <t>Quarter</t>
  </si>
  <si>
    <t>Q1</t>
  </si>
  <si>
    <t>Q2</t>
  </si>
  <si>
    <t>Q3</t>
  </si>
  <si>
    <t>Q4</t>
  </si>
  <si>
    <t>Reply</t>
  </si>
  <si>
    <t>Unknown</t>
  </si>
  <si>
    <t>Task</t>
  </si>
  <si>
    <t>Obstacles</t>
  </si>
  <si>
    <t>Management may not understand expectations for personnel to handle information and information assets in a secure manner.</t>
  </si>
  <si>
    <t>Errors while handling confidential information, such as by sending, storing, sharing, printing, disposing of information may lead to information breaches.</t>
  </si>
  <si>
    <t>Personnel may not handle information and information assets in a secure manner.</t>
  </si>
  <si>
    <t xml:space="preserve">ID.AM-5 | Asset Management  - Resources (e.g., hardware, devices, data, and software) are prioritized based on their classification, criticality, and business value 
PR.DS-1 | Data Security  - Data-at-rest is protected
PR.DS-2 | Data Security  - Data-in-transit is protected
</t>
  </si>
  <si>
    <t>Management may not understand expectations for third parties to access and/or protect information and information assets in a secure manner.</t>
  </si>
  <si>
    <t>Errors while accessing and/or protecting confidential information may lead to information breaches.</t>
  </si>
  <si>
    <t>Third party suppliers may introduce security risk to the organization.</t>
  </si>
  <si>
    <t>Third party vulnerabilities in applications, infrastructure, processes, etc. may compromise information security.</t>
  </si>
  <si>
    <t xml:space="preserve">ID.AM-4 | Asset Management  - External information systems are catalogued
PR.AT-3 | Awareness and Training  - Third-party stakeholders (e.g., suppliers, customers, partners) understand roles &amp; responsibilities 
DE.CM-6 | Security Continuous Monitoring  - External service provider activity is monitored to detect potential cybersecurity events
</t>
  </si>
  <si>
    <t>Personnel may not understand expectations for personnel to handle information and information assets during an incident in a secure manner.</t>
  </si>
  <si>
    <t>Errors while handling critical incident related information may lead to loss of forensic details and further information breaches.</t>
  </si>
  <si>
    <t xml:space="preserve">PR.IP-9 | Information Protection Processes and Procedures  - Response plans (Incident Response and Business Continuity) and recovery plans (Incident Recovery and Disaster Recovery) are in place and managed
</t>
  </si>
  <si>
    <t>Personnel may not handle information and information assets during an incident in a secure manner.</t>
  </si>
  <si>
    <t xml:space="preserve">PR.IP-9 | Information Protection Processes and Procedures  - Response plans (Incident Response and Business Continuity) and recovery plans (Incident Recovery and Disaster Recovery) are in place and managed
PR.IP-10 | Information Protection Processes and Procedures  - Response and recovery plans are tested
RS.AN-2 | Analysis  - The impact of the incident is understood
RS.AN-3 | Analysis  - Forensics are performed
RS.AN-4 | Analysis  - Incidents are categorized consistent with response plans
RS.CO-1 | Communications  - Personnel know their roles and order of operations when a response is needed
RS.CO-2 | Communications  - Events are reported consistent with established criteria
RS.CO-3 | Communications  - Information is shared consistent with response plans
RS.CO-4 | Communications  - Coordination with stakeholders occurs consistent with response plans
RS.CO-5 | Communications  - Voluntary information sharing occurs with external stakeholders to achieve broader cybersecurity situational awareness 
RS.IM-1 | Improvements  - Response plans incorporate lessons learned
RS.IM-2 | Improvements  - Response strategies are updated
RS.MI-1 | Mitigation  - Incidents are contained
RS.MI-2 | Mitigation  - Incidents are mitigated
RS.MI-3 | Mitigation  - Newly identified vulnerabilities are mitigated or documented as accepted risks
RS.RP-1 | Response Planning  - Response plan is executed during or after an event
RC.CO-1 | Communications  - Public relations are managed
RC.CO-2 | Communications  - Reputation after an event is repaired
RC.CO-3 | Communications  - Recovery activities are communicated to internal stakeholders and executive and management teams
</t>
  </si>
  <si>
    <t>Management may not understand expectations for recovery requirements and processes during a continuity event/disaster.</t>
  </si>
  <si>
    <t>Errors while recovering information systems may lead to loss of business data and may impact availability.</t>
  </si>
  <si>
    <t xml:space="preserve">ID.BE-4 | Business Environment  - Dependencies and critical functions for delivery of critical services are established
ID.BE-5 | Business Environment  - Resilience requirements to support delivery of critical services are established
</t>
  </si>
  <si>
    <t>Personnel may not properly recover information assets during a continuity event/disaster.</t>
  </si>
  <si>
    <t xml:space="preserve">PR.IP-4 | Information Protection Processes and Procedures  - Backups of information are conducted, maintained, and tested periodically
PR.IP-9 | Information Protection Processes and Procedures  - Response plans (Incident Response and Business Continuity) and recovery plans (Incident Recovery and Disaster Recovery) are in place and managed
PR.IP-10 | Information Protection Processes and Procedures  - Response and recovery plans are tested
RC.CO-1 | Communications  - Public relations are managed
RC.CO-2 | Communications  - Reputation after an event is repaired
RC.CO-3 | Communications  - Recovery activities are communicated to internal stakeholders and executive and management teams
RC.IM-1 | Improvements  - Recovery plans incorporate lessons learned
RC.IM-2 | Improvements  - Recovery strategies are updated
RC.RP-1 | Recovery Planning  - Recovery plan is executed during or after an event
</t>
  </si>
  <si>
    <t>Personnel may not understand how their applications create vulnerabilities.</t>
  </si>
  <si>
    <t>Hackers and malware may compromise applications through avoidable vulnerabilities.</t>
  </si>
  <si>
    <t>Applications may expose systems and data to avoidable attack paths.</t>
  </si>
  <si>
    <t xml:space="preserve">PR.IP-2 | Information Protection Processes and Procedures  - A System Development Life Cycle to manage systems is implemented
</t>
  </si>
  <si>
    <t>Personnel may not be aware of how uncontrolled systems, applications, and data create risks to the organization and others.</t>
  </si>
  <si>
    <t>Information assets may not be apprpriately secured, even when appropriate security standards protect other assets.
Compromise of information assets may not be identified.</t>
  </si>
  <si>
    <t>Applications, systems, and data may be unsecured and unmonitored and may permit errors and attacks to expose data, or cause system failure.</t>
  </si>
  <si>
    <t>Uncontrolled or compromised systems may attack neighboring information assets within the network.</t>
  </si>
  <si>
    <t xml:space="preserve">ID.AM-1 | Asset Management  - Physical devices and systems within the organization are inventoried
ID.AM-2 | Asset Management  - Software platforms and applications within the organization are inventoried
</t>
  </si>
  <si>
    <t>Personnel may not understand how provision of access rights and privileges can create risk of harm to systems and data.</t>
  </si>
  <si>
    <t>Attackers may exploit multiple vectors of attack, such as unauthorized access or unauthorized escalation, and may not be detected if standards for use of access privileges are not established, enforced, and monitored.</t>
  </si>
  <si>
    <t>Access privileges may be unmonitored and abused by personnel, disgruntled employees, dismissed employees, or attackers.</t>
  </si>
  <si>
    <t>Systems and data may be compromised through unauthorized use of valid access accounts.</t>
  </si>
  <si>
    <t xml:space="preserve">PR.AC-1 | Access Control  - Identities and credentials are managed for authorized devices and users
PR.AC-3 | Access Control  - Remote access is managed
PR.AC-4 | Access Control  - Access permissions are managed, incorporating the principles of least privilege and separation of duties
PR.PT-3 | Protective Technology  - Access to systems and assets is controlled, incorporating the principle of least functionality
</t>
  </si>
  <si>
    <t>Personnel may be unaware of risks that can be caused by improperly handling login credentials.</t>
  </si>
  <si>
    <t>Unauthorized people may access systems and applications without detection.</t>
  </si>
  <si>
    <t>Unauthorized parties may access systems and applications using an authorized person's credentials.</t>
  </si>
  <si>
    <t>Personnel may not understand expectations for the logging and monitoring of critical systems and data.</t>
  </si>
  <si>
    <t>Attackers or malware, or careless use of data and applications, may go undetected.</t>
  </si>
  <si>
    <t xml:space="preserve">PR.PT-1 | Protective Technology  - Audit/log records are determined, documented, implemented, and reviewed in accordance with policy
</t>
  </si>
  <si>
    <t>Attackers or careless users may access and use systems and applications without being detected.</t>
  </si>
  <si>
    <t xml:space="preserve">DE.AE-3 | Anomalies and Events  - Event data are aggregated and correlated from multiple sources and sensors
DE.AE-4 | Anomalies and Events  - Impact of events is determined
DE.AE-5 | Anomalies and Events  - Incident alert thresholds are established
DE.CM-1 | Security Continuous Monitoring  - The network is monitored to detect potential cybersecurity events
DE.CM-3 | Security Continuous Monitoring  - Personnel activity is monitored to detect potential cybersecurity events
DE.CM-7 | Security Continuous Monitoring  - Monitoring for unauthorized personnel, connections, devices, and software is performed
DE.DP-2 | Detection Processes  - Detection activities comply with all applicable requirements
DE.DP-3 | Detection Processes  - Detection processes are tested
DE.DP-4 | Detection Processes  - Event detection information is communicated to appropriate parties
DE.DP-5 | Detection Processes  - Detection processes are continuously improved
RS.AN-1 | Analysis  - Notifications from detection systems are investigated 
</t>
  </si>
  <si>
    <t>The organization may not be aware of opportunities for data breaches or system failure by malware, attackers, or user error.</t>
  </si>
  <si>
    <t>Hackers may launch multi-phase attacks on network systems by taking advantage of a series of vulnerabilities that permit sophisticated attacks.</t>
  </si>
  <si>
    <t>Applications, systems, and network devices may have avoidable vulnerabilities that can be exploited by attackers or malware. Vulnerabilities that persist over time may increase liability.</t>
  </si>
  <si>
    <t xml:space="preserve">Hackers, or malware may exploit vulnerabilities that are left open on systems and applications. </t>
  </si>
  <si>
    <t xml:space="preserve">ID.RA-1 | Risk Assessment  - Asset vulnerabilities are identified and documented
ID.RA-1 | Risk Assessment  - Threat and vulnerability information is received from information sharing forums and sources
ID.RA-1 | Risk Assessment  - Threats, both internal and external, are identified and documented
PR.IP-12 | Information Protection Processes and Procedures  - A vulnerability management plan is developed and implemented
DE.AE-2 | Anomalies and Events  - Detected events are analyzed to understand attack targets and methods
DE.CM-4 | Security Continuous Monitoring  - Malicious code is detected
DE.CM-5 | Security Continuous Monitoring  - Unauthorized mobile code is detected
DE.CM-8 | Security Continuous Monitoring  - Vulnerability scans are performed
DE.DP-2 | Detection Processes  - Detection activities comply with all applicable requirements
DE.DP-3 | Detection Processes  - Detection processes are tested
DE.DP-4 | Detection Processes  - Event detection information is communicated to appropriate parties
DE.DP-5 | Detection Processes  - Detection processes are continuously improved
RS.AN-1 | Analysis  - Notifications from detection systems are investigated 
RS.AN-2 | Analysis  - The impact of the incident is understood
</t>
  </si>
  <si>
    <t>Personnel may not configure, maintain, and operate systems in a known-secure manner, such as what might be provided in a standard or benchmark.</t>
  </si>
  <si>
    <t xml:space="preserve">Hackers and malware may take advantage of multiple vulnerabilities on multiple systems to execute multi-stage attacks.
</t>
  </si>
  <si>
    <t>Systems may provide vulnerabilities to attackers and malware, exposing system integrity, availability, or confidentiality of data.</t>
  </si>
  <si>
    <t xml:space="preserve">Hackers and malware may compromise sensitive information or system functionality by taking advantage of avoidable vulnerabilities.
</t>
  </si>
  <si>
    <t xml:space="preserve">PR.IP-1 | Information Protection Processes and Procedures  - A baseline configuration of information technology/industrial control systems is created and maintained
</t>
  </si>
  <si>
    <t>Personnel may not configure, maintain, and operate network devices in a known-secure manner, such as what might be provided in a standard or benchmark.</t>
  </si>
  <si>
    <t xml:space="preserve">Hackers and malware may take advantage of multiple vulnerabilities on multiple network devices to execute multi-stage attacks.
</t>
  </si>
  <si>
    <t>Network devices may provide vulnerabilities to attackers and malware, exposing system integrity, availability, or confidentiality of data.</t>
  </si>
  <si>
    <t xml:space="preserve">Hackers and malware may compromise the network by taking advantage of avoidable vulnerabilities.
</t>
  </si>
  <si>
    <t>Network resources may be excessively exposed to error or attacks if sensitive resources are not isolated from higher-risk vectors.</t>
  </si>
  <si>
    <t>Hackers and malware may compromise sensitive information through avoidable vulnerabilities.</t>
  </si>
  <si>
    <t>The organization may not be able to effectively isolate, monitor, or control risky traffic within and throughout their networks.</t>
  </si>
  <si>
    <t xml:space="preserve">PR.AC-5 | Access Control  - Network integrity is protected, incorporating network segregation where appropriate
PR.DS-7 | Data Security  - The development and testing environment(s) are separate from the production environment
PR.PT-4 | Protective Technology  - Communications and control networks are protected
DE.AE-1 | Anomalies and Events  - A baseline of network operations and expected data flows for users and systems is established and managed
</t>
  </si>
  <si>
    <t>Applications may expose to attackers avoidable vectors into application functionality, or sensitive data.</t>
  </si>
  <si>
    <t>Attackers may compromise systems or information by exploiting avoidable vulnerabilities. 
Some applications may be compromised by taking advantage of vulnerabilities that are created over the lifecycle of application maintenance.</t>
  </si>
  <si>
    <t xml:space="preserve">PR.DS-5 | Data Security  - Protections against data leaks are implemented
PR.DS-6 | Data Security  - Integrity checking mechanisms are used to verify software, firmware, and information integrity
</t>
  </si>
  <si>
    <t>The organization may not be aware of the risk that personnel expose them to.</t>
  </si>
  <si>
    <t>Errors in configuration of systems, use of confidential information, and communicating confidential information to others may lead to information breaches.</t>
  </si>
  <si>
    <t>Personnel may not be aware of how to perform their roles and responsibilities in a secure manner.</t>
  </si>
  <si>
    <t>Personnel may expose sensitive information through careless use of information or access privileges.</t>
  </si>
  <si>
    <t xml:space="preserve">PR.AT-1 | Awareness and Training  - All users are informed and trained 
PR.AT-2 | Awareness and Training  - Privileged users understand roles &amp; responsibilities 
PR.AT-4 | Awareness and Training  - Senior executives understand roles &amp; responsibilities 
PR.AT-5 | Awareness and Training  - Physical and information security personnel understand roles &amp; responsibilities 
</t>
  </si>
  <si>
    <t>Unauthorized people may access sensitive information that is stored on lost or stolen devices or paper.</t>
  </si>
  <si>
    <t>End users may mishandle media or devices that contain sensitive information.</t>
  </si>
  <si>
    <t xml:space="preserve">PR.DS-3 | Data Security  - Assets are formally managed throughout removal, transfers, and disposition
PR.IP-6 | Information Protection Processes and Procedures  - Data is destroyed according to policy
PR.PT-2 | Protective Technology  - Removable media is protected and its use restricted according to policy
</t>
  </si>
  <si>
    <t>Specific Control Gap</t>
  </si>
  <si>
    <t>Specific Safeguard Recommendation</t>
  </si>
  <si>
    <t>CSP #</t>
  </si>
  <si>
    <t>Risk Treatment Program (Delete)</t>
  </si>
  <si>
    <t>In addition, HALOCK recommends the following safeguards:</t>
  </si>
  <si>
    <t>Risk Red</t>
  </si>
  <si>
    <t>Risk Update</t>
  </si>
  <si>
    <t>% Comp</t>
  </si>
  <si>
    <t>Estimated Start Date</t>
  </si>
  <si>
    <t>Estimated End Date</t>
  </si>
  <si>
    <t>Needs</t>
  </si>
  <si>
    <t>Recommended Solutions</t>
  </si>
  <si>
    <t>Estimated Cost</t>
  </si>
  <si>
    <t>Estimated Effort</t>
  </si>
  <si>
    <t xml:space="preserve">Establish Organizational Information Security Governance
Ensure that organizational guidance (policies, charters, etc.) establishes the basis for Information Security Governance:
 * establish the high level information security requirements, including organizational structure, interested parties, leadership participation, etc.;
 * associate organizational directives (Mission, Objectives, Obligations) to the Information Security Program;
 * establish expectations for executive and/or board level communication and reporting;
 * review, update, and approval of Information Security Program documentation; and
 * communication of Information Security Program policies and processes.
Document Information Security policies and standards
Formalize the documentation required for the Information Security Program. Account for the:
 * establishment of requisite groups or committees; 
 * official documents required by executive management and/or regulations and standards, 
 * Information Security Program roles and responsibilities; and 
 * processes for the management of Information Security Program documentation.
Establish, manage and validate operational activities for the Information Security Program including:
 * execution, review and improvement of Information Security Program organization activities
 * periodic executive management reporting/presentations.
 </t>
  </si>
  <si>
    <t xml:space="preserve">Establish Organizational Information Security Audit &amp; Compliance
Ensure that policies, standards, etc. establish the foundation for Information Security Audit &amp; Compliance:
 * establish the high level audit requirements including internal and external review, management review, reporting and performance measurement, and remediation;
 * document organizational compliance (legal and regulatory) obligations and associated requirements, including reporting and notification;
 * establish and document plans for Audit &amp; Compliance activity;
 * establish expectations for metrics and measurement of existing controls;
 * review, update, and approval of Audit &amp; Compliance documentation;
 * review, update, and approval of organizational compliance obligations; and
 * communication of Audit &amp; Compliance policies and processes.
Implement Information Security Audit &amp; Compliance
Establish, manage and validate operational activities for Information Security Audit &amp; Compliance including:
 * execution, review and improvement of Audit &amp; Compliance activities including planned audit activity and reporting, compliance review and validation, and management review; and
 * reporting of Audit &amp; Compliance performance metrics.
</t>
  </si>
  <si>
    <t xml:space="preserve">Establish Organizational Information Security Risk Assessment
Ensure that policies, standards, etc. establish the foundation for Information Security Risk Assessment:
 * establish the risk assessment requirements including, methodology and approach, organizational risk assessment criteria, documentation requirements, risk treatment planning, risk management activity, management review, and reporting and performance measurement;
 * establish and document plans for Risk Assessment activity;
 * review, update, and approval of Risk Assessment documentation; and
 * communication of Risk Assessment policies and processes.
Implement Information Security Risk Assessment
Establish, manage and validate operational activities for Information Security Risk Assessment including:
 * execution, review and improvement of Risk Assessment activities including scheduled risk assessments and reporting, risk management activities, and management review; and
 * reporting of Risk Assessment performance metrics.
</t>
  </si>
  <si>
    <t xml:space="preserve">Establish Organizational Information Security Data Classification &amp; Handling
Ensure that policies, standards, etc. establish the foundation for Information Security Data Classification &amp; Handling:
 * establish the organizational data classification(s) that require unique Information Security controls, including considerations for compliance obligations
 * establish the organization data handling requirements in alignment with the organizations data classification(s), including considerations for physical and electronic media, protection/encryption, storage, transmission, messaging, printing, retention, destruction, sharing, etc.;
 * define reporting and performance measurement;
 * review, update, and approval of Data Classification &amp; Handling documentation; and
 * communication of Data Classification &amp; Handling policies and processes.
Implement Information Security Data Classification &amp; Handling
Establish, manage and validate operational activities for Information Security Data Classification &amp; Handling including:
 * implement unique Information Security controls based on classification of data including considerations for physical and electronic media, protection/encryption, storage, transmission, messaging, printing, retention, destruction, sharing, etc.;
 * reporting of Data Classification &amp; Handling performance metrics.
</t>
  </si>
  <si>
    <t xml:space="preserve">Establish Organizational Information Security Third Party Security
Ensure that policies, standards, etc. establish the foundation for Information Security Third Party Security:
 * establish the Third Party Security management process for the organization, including vendor risk assessment, relationship management, procurement due diligence, and agreement review;
 * define the type of third party partners and the corresponding onboarding/offboarding requirements;
 * establish the requirements for Third Party Security access including physical and remote access, data access, production system access, monitoring, etc.;
 * establish the requirements for third party partner activity monitoring;
 * establish the requirements for third party partner incident response;
 * define reporting and performance measurement;
 * review, update, and approval of Third Party Security documentation; and
 * communication of Third Party Security policies and processes.
Implement Information Security Third Party Security
Establish, manage and validate operational activities for Third Party Security including:
 * implementing Third Party Security management process for the organization, including vendor risk assessment, relationship management, procurement due diligence, and agreement review;
 * implementing third party partner onboarding/offboarding procedures;
 * restricting Third Party Security access including physical and remote access, data access, production system access;
 * monitoring of Third Party activity, etc.;
 * responding to Third Party Security incidents; and 
 * reporting of Third Party Security performance metrics.
</t>
  </si>
  <si>
    <t xml:space="preserve">Establish Organizational Information Security Incident Response
Ensure that policies, standards, etc. establish the foundation for Information Security Incident Response Program:
 * establish the Incident Response Program for the organization, including incident response planning and incident response testing;
 * ensure the Incident Response Plan includes:
   a. revision history and formal approval;
   b. roles and responsibilities for Incident Response resources (internal and external);
   c. containment procedures;
   d. communication expectations (internal and external);
   e. notification procedures for reporting of the incident to appropriate parties as relevant
   f. collection and use of forensic evidence as part of the incident management and investigation process
   g. appropriate management of evidence for use in subsequent legal or disciplinary proceedings
   h. formal controls for recovery and remediation, including appropriate documentation of actions taken
   i. procedures for appropriate analysis and identification of the causes of an incident
 * require periodic training for Incident Response resources;
 * require periodic testing of the Incident Response Plan;
 * define reporting and performance measurement;
 * review, update, and approval of Incident Response Program documentation; and
 * communication of Incident Response Program policies and processes.
Implement Information Security Incident Response
Establish, manage and validate operational activities for Incident Response including:
 * training Incident Response resources;
 * testing the Incident Response Plan;
 * following the Incident Response Plan during an incident including, containment, communication, notification, collection and management of evidence, remediation, documentation, and root cause analysis;
 * reporting of Incident Response Program performance metrics.
</t>
  </si>
  <si>
    <t xml:space="preserve">Establish Organizational Information Security BC/DR
Ensure that policies, standards, etc. establish the foundation for Information Security Business Continuity / Disaster Recovery (BC/DR) Program:
 * establish the BC/DR Program for the organization, including BC/DR planning and testing;
 * establish system classification criteria for BC/DR planning use to identify business criticality of applications/systems/processes;
 * ensure the BC/DR Plan includes:
   a. revision history and formal approval;
   b. roles and responsibilities for BC/DR resources (internal and external);
   c. physical location considerations;
   d. communication expectations (internal and external);
   e. temporary security controls;
   f. recovery procedures;
   h. verification procedures;
 * require periodic training for BC/DR resources;
 * require periodic testing of the BC/DR Plan;
 * define reporting and performance measurement;
 * review, update, and approval of BC/DR Program documentation; and
 * communication of BC/DR Program policies and processes.
Implement Information Security BC/DR
Establish, manage and validate operational activities for BC/DR including:
 * training BC/DR resources;
 * testing the BC/DR Plan;
 * following the BC/DR Plan during an event including, physical relocation, communication, temporary security controls, recovery, and verification;
 * reporting of BC/DR Program performance metrics.
</t>
  </si>
  <si>
    <t xml:space="preserve">Establish Organizational Information Security Change Control
Ensure that policies, standards, etc. establish the foundation for Information Security Change Control:
 * establish the Change Control program for the organization including overall process oversight;
 * define Change Control classification(s) to account for organization change needs (emergency, standard, routine, etc.);
 * define Change Control requirements including change classification criteria, compliance obligations, approvals, etc.;
 * define reporting and performance measurement;
 * review, update, and approval of Change Control Program documentation; and
 * communication of Change Control Program policies and processes.
Implement Information Security Change Control
Establish, manage and validate operational activities for Change Control including:
 * follow Change Control procedures based on Change Control classification;
 * reporting of Change Control performance metrics.
</t>
  </si>
  <si>
    <t xml:space="preserve">Establish Organizational Information Security Secure Application Development
Ensure that policies, standards, etc. establish the foundation for Secure Application Development:
 * define Secure Application Development requirements including architecture, development integration, compliance obligations, outsourcing, data protection, etc.;
 * establish Secure Application Development procedures in support of the System Development Lifecycle (SDLC), including initiation, design, development, testing, production migration, and support;
 * require periodic training for Application Development and Support resources to address evolving secure coding techniques;
 * define reporting and performance measurement;
 * review, update, and approval of Secure Application Development documentation; and
 * communication of Secure Application Development policies and processes.
Implement Information Security Secure Application Development
Establish, manage and validate operational activities for Secure Application Development including:
 * training Application Development and Support resources;
 * incorporating Secure Development concepts, techniques, and compliance obligations in development and support initiatives;
 * enforcing Secure Application Development requirements when outsourcing application development and support;
 * include Secure Application Development procedures in the System Development Lifecycle (SDLC), during initiation, design, development, testing, production migration, and support;
 * reporting of Secure Application Development performance metrics.
</t>
  </si>
  <si>
    <t xml:space="preserve">Establish Organizational Information Security Asset Management
Ensure that policies, standards, etc. establish the foundation for Information Security Asset Management:
 * establish Asset Management requirements including acceptable use, inventory, tracking, assignment, recovery, etc.;
 * define reporting and performance measurement;
 * review, update, and approval of Asset Management documentation; and
 * communication of Asset Management policies and processes.
Implement Information Security Asset Management
Establish, manage and validate operational activities for Asset Management including:
 * acknowledgement and acceptance of asset acceptable use;
 * management of all critical assets including assignment, location, recovery, etc.;
 * reporting of Asset Management performance metrics.
</t>
  </si>
  <si>
    <t xml:space="preserve">Establish Organizational Information Security Access Control
Ensure that policies, standards, etc. establish the foundation for Information Security Access Control:
 * establish access requirements including roles &amp; responsibilities, least privilege, segregation of duties, privileged access, access provisioning/deprovisioning, shared use, etc.;
 * establish authentication requirements including remote access, credential protection, directory integration, multi-factor authentication, etc.;
 * define reporting and performance measurement;
 * review, update, and approval of Access Control documentation; and
 * communication of Access Control policies and processes.
Implement Information Security Access Control
Establish, manage and validate operational activities for Access Control including:
 * periodically review and manage user access;
 * restrict remote access, privileged access, shared use, local authentication;
 * require credential protection, multi-factor authentication;
 * review Access Control periodically to validate access and restrict unauthorized use; and
 * reporting of Access Control performance metrics.
</t>
  </si>
  <si>
    <t xml:space="preserve">Establish Organizational Information Security Credential Management
Ensure that policies, standards, etc. establish the foundation for Information Security Credential Management:
 * establish user ID requirements including uniqueness, segregation of duties, etc.;
 * establish password requirements including credential protection, multi-factor authentication, etc.;
 * define reporting and performance measurement;
 * review, update, and approval of Credential Management documentation; and
 * communication of Credential Management policies and processes.
Implement Information Security Credential Management
Establish, manage and validate operational activities for Credential Management including:
 * periodically review and manage user IDs;
 * require credential protection, multi-factor authentication; and
 * reporting of Credential Management performance metrics.
</t>
  </si>
  <si>
    <t xml:space="preserve">Establish Organizational Information Security Cryptographic Controls
Ensure that policies, standards, etc. establish the foundation for Information Security Cryptographic Controls:
 * establish Cryptographic Controls requirements including technical configuration and management (procurement, key management, etc.);
 * define reporting and performance measurement;
 * review, update, and approval of Cryptographic Controls documentation; and
 * communication of Cryptographic Controls policies and processes.
Implement Information Security Cryptographic Controls
Establish, manage and validate operational activities for Cryptographic Controls including:
 * ensure use of approved cryptographic ciphers and algorithms;
 * protect cryptographic keys; and
 * reporting of Cryptographic Controls performance metrics.
</t>
  </si>
  <si>
    <t xml:space="preserve">Establish Organizational Information Security Logging &amp; Monitoring
Ensure that policies, standards, etc. establish the foundation for Information Security Logging &amp; Monitoring:
 * establish Logging &amp; Monitoring requirements including log data requirements (events, contents, etc.), integrity and protection of log data, and review and notification process;
 * define reporting and performance measurement;
 * review, update, and approval of Logging &amp; Monitoring documentation; and
 * communication of Logging &amp; Monitoring policies and processes.
Implement Information Security Logging &amp; Monitoring
Establish, manage and validate operational activities for Logging &amp; Monitoring including:
 * enable logging;
 * ensure the integrity of log data;
 * protect and retain log data;
 * integrate notification process with vulnerability management and incident response; and
 * reporting of Logging &amp; Monitoring performance metrics.
</t>
  </si>
  <si>
    <t xml:space="preserve">Establish Organizational Information Security Vulnerability Management
Ensure that policies, standards, etc. establish the foundation for Information Security Vulnerability Management:
 * establish the Vulnerability Management requirements including, methodology and approach, risk assessment criteria, documentation requirements, remediation planning and management, management review;
 * define reporting and performance measurement;
 * review, update, and approval of Vulnerability Management documentation; and
 * communication of Vulnerability Management policies and processes.
Implement Information Security Vulnerability Management
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t>
  </si>
  <si>
    <t xml:space="preserve">Establish Organizational Information Security Maintenance
Ensure that policies, standards, etc. establish the foundation for Information Security Maintenance:
 * establish Maintenance requirements including utility tools, equipment support schedules, equipment capacity, etc.;
 * define reporting and performance measurement;
 * review, update, and approval of Maintenance documentation; and
 * communication of Maintenance policies and processes.
Implement Information Security Maintenance
Establish, manage and validate operational activities for Maintenance including:
 * ensure use of approved utility tools;
 * review and update systems, software, hardware, etc. based on support lifecycles and capacity; and
 * reporting of Maintenance performance metrics.
</t>
  </si>
  <si>
    <t xml:space="preserve">Establish Organizational Information Security Systems Management
Ensure that policies, standards, etc. establish the foundation for Information Security Systems Management:
 * establish Systems Management requirements including hardening guides, application and system requirements, vendor recommendations, etc.;
 * define reporting and performance measurement;
 * review, update, and approval of Systems Management documentation; and
 * communication of Systems policies and processes.
Implement Information Security Systems Management
Establish, manage and validate operational activities for Systems Management including:
 * ensure hardening/protection of systems based on internal and vendor guidance;
 * reporting of Systems performance metrics.
</t>
  </si>
  <si>
    <t xml:space="preserve">Establish Organizational Information Security Network Device Management
Ensure that policies, standards, etc. establish the foundation for Information Security Network Device Management:
 * establish Network Device Management requirements including hardening guides, device requirements, vendor recommendations, etc.;
 * define reporting and performance measurement;
 * review, update, and approval of Network Device Management documentation; and
 * communication of Network Device Management policies and processes.
Implement Information Security Network Device Management
Establish, manage and validate operational activities for Network Device Management including:
 * ensure hardening/protection of systems based on internal and vendor guidance;
 * reporting of Network Device Management performance metrics.
</t>
  </si>
  <si>
    <t xml:space="preserve">Establish Organizational Information Security Network Architecture
Ensure that policies, standards, etc. establish the foundation for Secure Network Architecture:
 * define Secure Network Architecture requirements including configuration, project integration, compliance obligations, outsourcing, data protection, etc.;
 * establish Secure Network Architecture procedures in support of the System Development Lifecycle (SDLC), including initiation, design, development, testing, production migration, and support;
 * require periodic training for Network Engineering resources to address evolving secure architecture and configuration techniques;
 * define reporting and performance measurement;
 * review, update, and approval of Secure Application Development documentation; and
 * communication of Secure Application Development policies and processes.
Implement Information Security Network Architecture
Establish, manage and validate operational activities for Secure Network Architecture including:
 * training Network Engineering resources;
 * incorporating Secure Network Engineering concepts, techniques, and compliance obligations in architecture and support initiatives;
 * enforcing Secure Network Architecture requirements when outsourcing network engineering and support;
 * include Secure Network Architecture procedures in the System Development Lifecycle (SDLC), during initiation, design, development, testing, production migration, and support;
 * reporting of Secure Network Architecture performance metrics.
</t>
  </si>
  <si>
    <t xml:space="preserve">Establish Organizational Information Security Application Management
Ensure that policies, standards, etc. establish the foundation for Information Security Application Management:
 * establish Application Management requirements including configuration guides, vendor recommendations, etc.;
 * define reporting and performance measurement;
 * review, update, and approval of Applications documentation; and
 * communication of Applications policies and processes.
Implement Information Security Application Management
Establish, manage and validate operational activities for Application Management including:
 * ensure secure configuration of systems based on internal and vendor guidance;
 * reporting of Application Management performance metrics.
</t>
  </si>
  <si>
    <t xml:space="preserve">Establish Organizational Information Security Security Awareness
Ensure that policies, standards, etc. establish the foundation for Information Security Awareness:
 * establish Security Awareness requirements including initial and periodic training, etc.;
 * define reporting and performance measurement;
 * review, update, and approval of Applications documentation; and
 * communication of Applications policies and processes.
Implement Information Security Security Awareness
Establish, manage and validate operational activities for Security Awareness including:
 * require Security Awareness training;
 * ensure secure configuration of systems based on internal and vendor guidance;
 * reporting of Security Awareness performance metrics.
</t>
  </si>
  <si>
    <t xml:space="preserve">Establish Organizational Information Security HR Security
Ensure that policies, standards, etc. establish the foundation for HR Security:
 * establish HR Security requirements including resource risk assessment, screening, disciplinary process, etc.;
 * define reporting and performance measurement;
 * review, update, and approval of Applications documentation; and
 * communication of HR Security policies and processes.
Implement Information Security HR Security
Establish, manage and validate operational activities for HR Security including:
 * require resource screening and risk assessment;
 * define the resource disciplinary process;
 * reporting of HR Security performance metrics.
</t>
  </si>
  <si>
    <t xml:space="preserve">Establish Organizational Information Security Physical Security
Ensure that policies, standards, etc. establish the foundation for Physical Security:
 * establish Physical Security requirements including perimeter and entry controls, secure locations, environmental threats, delivery/loading areas, utilities, cabling, secure work areas, etc.;
 * define reporting and performance measurement;
 * review, update, and approval of Physical Security documentation; and
 * communication of Physical Security policies and processes.
Implement Information Security Physical Security
Establish, manage and validate operational activities for Physical Security including:
 * ensure secure boundaries and controls for secure/sensitive locations, including delivery/loading areas, perimeter doors &amp; windows, etc.;
 * provide protection for utilities, cabling, etc.
 * restrict access to secure work areas, provide controls and guidance for working in sensitive areas;
 * reporting of Physical Security performance metrics.
</t>
  </si>
  <si>
    <t xml:space="preserve">Establish Organizational Information Security Media Security
Ensure that policies, standards, etc. establish the foundation for Media Security:
 * establish Media Security requirements including disposal and reuse of equipment, removal of assets, clear desk/screen, etc.;
 * define reporting and performance measurement;
 * review, update, and approval of Media Security documentation; and
 * communication of Media Security policies and processes.
Implement Information Security Media Security
Establish, manage and validate operational activities for Media Security including:
 * ensure physical and removable equipment are secured prior to reuse or disposal using industry best practice techniques;
 * ensure physical media is secure when not in use;
 * reporting of Media Security performance metrics.
</t>
  </si>
  <si>
    <t>Status Count              Total Tasks</t>
  </si>
  <si>
    <t>Total Effort Hours</t>
  </si>
  <si>
    <t>4/1/2024</t>
  </si>
  <si>
    <t>7/1/2024</t>
  </si>
  <si>
    <t>10/1/2024</t>
  </si>
  <si>
    <t>1/1/2025</t>
  </si>
  <si>
    <t>4/1/2025</t>
  </si>
  <si>
    <t>LHF Retainer Hours</t>
  </si>
  <si>
    <t>LHF FTE Hours</t>
  </si>
  <si>
    <t>Total  Project Hours</t>
  </si>
  <si>
    <t>Initial Risk Scores</t>
  </si>
  <si>
    <t>Total Risk Reduction</t>
  </si>
  <si>
    <t>Current Risk Scores</t>
  </si>
  <si>
    <t>Q2.2024</t>
  </si>
  <si>
    <t>Q3.2024</t>
  </si>
  <si>
    <t>Q4.2024</t>
  </si>
  <si>
    <t>Q1.2025</t>
  </si>
  <si>
    <t>Security Solution Suggestions</t>
  </si>
  <si>
    <t>Initial Risk Score</t>
  </si>
  <si>
    <t>Safeguard Risk Score</t>
  </si>
  <si>
    <t>Solution</t>
  </si>
  <si>
    <t>Interest</t>
  </si>
  <si>
    <t>Q2.2025</t>
  </si>
  <si>
    <t>5/1/2024</t>
  </si>
  <si>
    <t>6/1/2024</t>
  </si>
  <si>
    <t>8/1/2024</t>
  </si>
  <si>
    <t>9/1/2024</t>
  </si>
  <si>
    <t>11/1/2024</t>
  </si>
  <si>
    <t>12/1/2024</t>
  </si>
  <si>
    <t>2/1/2025</t>
  </si>
  <si>
    <t>3/1/2025</t>
  </si>
  <si>
    <t>5/1/2025</t>
  </si>
  <si>
    <t>6/1/2025</t>
  </si>
  <si>
    <t>BCU</t>
  </si>
  <si>
    <t xml:space="preserve">Empower members to find financial freedom and to be the most personal, trusted, and valued source of financial well-being. </t>
  </si>
  <si>
    <t>Consistently and effectively meeting operation, capital earning, and customer satisfaction goals.</t>
  </si>
  <si>
    <t>Duty of Care to safeguard members and employees. Compliance to contractual and board agreements, PCI-DSS, State, GDPR, CCPA, and NCUA requirements.</t>
  </si>
  <si>
    <t>No impact to mission.</t>
  </si>
  <si>
    <t xml:space="preserve">Goals are on target with no negative impacts. </t>
  </si>
  <si>
    <t>Exposed PII is under reporting threshold (&lt;100 records). No regulatory or agreement violations.</t>
  </si>
  <si>
    <t>Any impact to mission would be within planned variance.</t>
  </si>
  <si>
    <t>Slight negative impact, but goals are on target within planned variance.</t>
  </si>
  <si>
    <t>Exposed sensitive information would not cause foreseeable harm and less than 1,000 records. Regulatory and agreement violations are mitigated with compensating controls.</t>
  </si>
  <si>
    <t>Impact to mission would take six months to recover.</t>
  </si>
  <si>
    <t>Impact adversely affects meeting goals and requires effort to recover within a fiscal year.</t>
  </si>
  <si>
    <t>Over 1,000 PII records were exposed, or information could cause harm a few victims. Control is in violation of regulations or agreements.</t>
  </si>
  <si>
    <t>Impact to mission would take 1-2 years to recover.</t>
  </si>
  <si>
    <t xml:space="preserve">Significant impact hinders meeting goals and requires multiple years to recover. </t>
  </si>
  <si>
    <t>Over 100,000 PII records were exposed or leaked information caused harm to many victims. Control could cause fines or a breach of contract due to non-compliance.</t>
  </si>
  <si>
    <t xml:space="preserve">Impact to mission would take over 2 years to recover. </t>
  </si>
  <si>
    <t>Business operations, capital earnings, and customer satisfaction goals are unable to recover.</t>
  </si>
  <si>
    <t>Members or employees are in constant jeopardy due to data breaches. Non-compliant critical controls led to breach of contract and/or heavy fines.</t>
  </si>
  <si>
    <t>Information - Documentation</t>
  </si>
  <si>
    <t>Information - Processes and Procedures</t>
  </si>
  <si>
    <t>Services - Third Party Services</t>
  </si>
  <si>
    <t>Services - Application Services</t>
  </si>
  <si>
    <t>Services - Personnel</t>
  </si>
  <si>
    <t>Security Solution Implementation</t>
  </si>
  <si>
    <t>Security Controls and Configurations</t>
  </si>
  <si>
    <t>Hardware Assets</t>
  </si>
  <si>
    <t>Software Assets</t>
  </si>
  <si>
    <t>Virtual Assets</t>
  </si>
  <si>
    <t>Network Devices</t>
  </si>
  <si>
    <t>Physical Security Assets</t>
  </si>
  <si>
    <t>Security Awareness and Training</t>
  </si>
  <si>
    <t>Asset 1</t>
  </si>
  <si>
    <t>Asset 2</t>
  </si>
  <si>
    <t>Asset 3</t>
  </si>
  <si>
    <t>Asset 4</t>
  </si>
  <si>
    <t>Asset 5</t>
  </si>
  <si>
    <t>Manage</t>
  </si>
  <si>
    <t>Unauthorized assets are monitored and managed using Artic Wolf alerts. Any unauthorized changes are tracked, and metrics are maintained (e.g., 0.2% unauthorized changes). Systems such as NAC 802.1x domain join, EEP/TLS, and Intune for authorization help in identifying and managing unauthorized assets.</t>
  </si>
  <si>
    <t>Active discovery of assets is performed using SCCM and Intune, which help in identifying and tracking assets. DHCP reservations and logging are used to verify assets, with alerts for unauthorized devices managed through Artic Wolf.</t>
  </si>
  <si>
    <t>DHCP logging is utilized to verify asset inventory, with alerts set up for unauthorized devices through Artic Wolf. The logs are reviewed regularly to ensure the inventory is up-to-date.</t>
  </si>
  <si>
    <t>Passive discovery tools, such as SCCM, are used to identify and manage assets connected to the network. Regular scans and reviews are conducted to update the asset inventory.</t>
  </si>
  <si>
    <t>Authorized software is tracked, and compliance is ensured by the Audit &amp; Compliance Team. Unsupported software is documented with mitigating controls and residual risk acceptance. Software support is reviewed monthly.</t>
  </si>
  <si>
    <t>Data inventory is maintained using tools like Veronis for data discovery, scanning, and tagging. PII is segregated in a separate schema with RBACs in the new data warehouse. Regular reviews and updates are conducted.</t>
  </si>
  <si>
    <t>Data access control lists are configured and managed based on the principle of least privilege. Access permissions are regularly reviewed and updated to ensure compliance.</t>
  </si>
  <si>
    <t>Data on end-user devices is encrypted using BitLocker, FileVault, and other encryption methods.</t>
  </si>
  <si>
    <t>Sensitive data in transit is encrypted using TLS, OpenSSH, and other secure protocols.</t>
  </si>
  <si>
    <t>Data processing and storage are segmented based on sensitivity, with PII segregated in a separate schema in the new data warehouse.</t>
  </si>
  <si>
    <t>DLP solutions are implemented using Purview and other tools, with data discovery and tagging managed by Veronis.</t>
  </si>
  <si>
    <t>Sensitive data access is logged, including modifications and disposals, through various security and governance tools.</t>
  </si>
  <si>
    <t>Secure configuration processes are documented and maintained for all enterprise assets, including end-user devices, servers, and software. Regular reviews and updates are conducted, and configurations are managed through System Center tools and SCCM.</t>
  </si>
  <si>
    <t>Secure configuration processes for network devices are established and maintained, with annual reviews. Configurations are managed through tools like DNA Center and SolarWinds for compliance testing and backups.</t>
  </si>
  <si>
    <t>Automatic session locking is configured with timeouts set to 5 minutes for routers and non-enterprise assets, 10 minutes for Roam Environment, and 30 minutes for laptops.</t>
  </si>
  <si>
    <t>Firewalls are implemented and managed on servers using CrowdStrike. Configurations are reviewed regularly to ensure compliance.</t>
  </si>
  <si>
    <t>Host-based firewalls are managed on end-user devices through CrowdStrike, with a default-deny rule in place.</t>
  </si>
  <si>
    <t>Default accounts on enterprise assets and software are managed by disabling or making them unusable.</t>
  </si>
  <si>
    <t>Trusted DNS servers are configured on enterprise assets, using Azure DNS for public and Microsoft DNS on Domain controllers for internal use.</t>
  </si>
  <si>
    <t>Automatic device lockout is enforced on portable end-user devices using Intune for laptops and Apple Configuration Profiles for tablets and smartphones.</t>
  </si>
  <si>
    <t>Remote wipe capability is enforced using CrowdStrike and Intune for mobile devices.</t>
  </si>
  <si>
    <t>Separate enterprise workspaces are used on mobile end-user devices with Android Work Profiles and Apple Configuration Profiles.</t>
  </si>
  <si>
    <t>An inventory of all accounts, including user and administrator accounts, is maintained. The inventory includes details such as the person’s name, username, start/stop dates, and department. Active accounts are validated quarterly. SailPoint is used for access reviews, and Identity Now is being integrated for comprehensive account management.</t>
  </si>
  <si>
    <t>Account management is centralized through Entra and SailPoint, ensuring a streamlined and secure process for managing accounts.</t>
  </si>
  <si>
    <t>An access granting process is established and automated through ServiceDesk and DayForce. New hires, rights grants, and role changes follow a standardized process.</t>
  </si>
  <si>
    <t>Access control is centralized through directory services and SSO providers like Entra, ensuring consistent and secure access management.</t>
  </si>
  <si>
    <t>Role-based access control (RBAC) is defined and maintained, with access rights documented for each role. Annual access control reviews are conducted to validate privileges, managed through SailPoint and Entra.</t>
  </si>
  <si>
    <t>Automated vulnerability scans of externally-exposed enterprise assets are conducted monthly using Qualys VM. External vulnerability scanning is also performed using tools like Sapio and Panorays.</t>
  </si>
  <si>
    <t>Time synchronization is standardized across enterprise assets using at least two synchronized time sources. This ensures accurate logging and forensic analysis.</t>
  </si>
  <si>
    <t>Command-line audit logs are collected from PowerShell®, BASH™, and remote administrative terminals. Systems like LibreNMS use SSH in Roam for admin work and logging.</t>
  </si>
  <si>
    <t>Audit log collection and retention are centralized across enterprise assets. Artic Wolf is the primary MDR and SIEM solution, centralizing logs from various systems.</t>
  </si>
  <si>
    <t>Only fully supported browsers (Edge and Chrome) and email clients (Outlook) are allowed. The Office Store is disabled but browser extensions are still usable. Proactive remediation script for Firefox runs daily. Default mail client is disabled.</t>
  </si>
  <si>
    <t>DNS filtering services are implemented on-site at the firewall level and through Netskope for remote access, reporting alerts to Artic Wolf for continuous monitoring. Azure DNS is used for public DNS, while internal DNS is managed on Microsoft DNS servers.</t>
  </si>
  <si>
    <t>Network-based URL filters are enforced and updated regularly. Netskope provides URL filtering for remote access, with alerts reported to Artic Wolf. Daily reports are generated for users accessing banned categories.</t>
  </si>
  <si>
    <t>Unnecessary or unauthorized browser and email client extensions are restricted. Roam environment is locked down, requiring requests to add extensions. Laptops allow users to use extensions but have controls to prevent installing side extensions, requiring downloads through the official store.</t>
  </si>
  <si>
    <t>DMARC policy and verification are in progress. Initial steps include implementing the Sender Policy Framework (SPF) and DomainKeys Identified Mail (DKIM) standards.</t>
  </si>
  <si>
    <t>Unnecessary file types are blocked using CrowdStrike AV, which also performs continuous anti-malware scans. Email server uses Proofpoint for additional anti-malware protections.</t>
  </si>
  <si>
    <t>Email server anti-malware protections are maintained using Proofpoint for attachment scanning and sandboxing. Additional anti-malware measures are provided by CrowdStrike.</t>
  </si>
  <si>
    <t>Crowdstrike is deployed and maintained on all enterprise endpoints, servers, and applicable devices. Crowdstrike provides anti-malware protection and behavior monitoring.</t>
  </si>
  <si>
    <t>Anti-malware signature updates are configured to occur automatically on all enterprise assets through Crowdstrike.</t>
  </si>
  <si>
    <t>Autorun and autoplay functionalities for removable media are disabled across the enterprise to prevent automatic execution of potentially malicious files.</t>
  </si>
  <si>
    <t>Anti-malware software is configured to automatically scan removable media upon insertion, utilizing Crowdstrike to perform the scans.</t>
  </si>
  <si>
    <t>Anti-exploitation features such as Data Execution Prevention (DEP) and Windows Defender Exploit Guard (WDEG) are enabled on applicable enterprise assets.</t>
  </si>
  <si>
    <t>Anti-malware software, including Crowdstrike, is centrally managed through SCCM and Intune, ensuring consistent deployment and management across all devices.</t>
  </si>
  <si>
    <t>Behavior-based anti-malware software is utilized, specifically Crowdstrike, which monitors and responds to abnormal behaviors indicative of malware.</t>
  </si>
  <si>
    <t>Recovery data is protected with equivalent controls to the original data, including encryption and data separation, particularly in systems like SQL databases and Azure.</t>
  </si>
  <si>
    <t>Network infrastructure is regularly updated with the latest stable release of software. The enterprise performs monthly reviews to ensure all network devices and software are current and supported.</t>
  </si>
  <si>
    <t>Comprehensive network architecture diagrams are established and maintained. Documentation is reviewed and updated annually or when significant changes occur within the enterprise.</t>
  </si>
  <si>
    <t>Secure network management and communication protocols, including 802.1X and WPA2 Enterprise, are implemented across the enterprise. These protocols ensure secure access to network resources.</t>
  </si>
  <si>
    <t>Access control for remote assets is managed by verifying the presence of up-to-date anti-malware software, ensuring compliance with the enterprise's secure configuration standards, and confirming that operating systems and applications are current.</t>
  </si>
  <si>
    <t>Training sessions cover authentication best practices, including the importance of using MFA, creating strong passwords, and managing credentials securely.</t>
  </si>
  <si>
    <t>Employees are trained on best practices for data handling, including proper storage, transfer, archiving, and destruction of sensitive data. Clear screen and desk policies are enforced, and employees are reminded to lock screens and erase whiteboards after use.</t>
  </si>
  <si>
    <t>Training includes awareness of unintentional data exposure causes, such as mis-delivery of sensitive data, loss of portable devices, and accidental publishing of data.</t>
  </si>
  <si>
    <t>Training covers the risks of using insecure networks for enterprise activities. Remote workers receive additional guidance on securely configuring their home network infrastructure.</t>
  </si>
  <si>
    <t>Service providers are securely decommissioned, including deactivation of user and service accounts, termination of data flows, and secure disposal of enterprise data within service provider systems.</t>
  </si>
  <si>
    <t xml:space="preserve">Software inventory is managed through ITAM, with all major software assets documented. Regular updates and reviews are conducted, and the Application Maintenance Team tracks installed software in the Roam Environment. </t>
  </si>
  <si>
    <t>Automated software inventory tools are implemented through SCCM, Intune, and JAMF, helping to automate the discovery and documentation process.</t>
  </si>
  <si>
    <t>Malicious scripts are controlled using digital signatures and version control through CrowdStrike. Malicious scripts are blocked, and bi-annual reassessments ensure compliance.</t>
  </si>
  <si>
    <t>Malicious software libraries are managed and controlled through CrowdStrike, blocking unauthorized libraries from loading into system processes. Regular reassessments ensure compliance.</t>
  </si>
  <si>
    <t>Application allowlisting is enforced using CrowdStrike, SCCM, ITAM, Intune, and JAMF, ensuring only authorized software can execute. Users do not have localadmin privileges to install software. Crowdstrike automatically blocks malicious software. Reviews and updates occur bi-annually.</t>
  </si>
  <si>
    <t xml:space="preserve">Data management processes are documented and maintained, addressing data sensitivity, ownership, handling, retention, and disposal requirements. Regular reviews and updates are conducted, with inputs from the Data Governance and other committees. Data Governance tools, such as Veronis and Purview, are used for governance and DLP. </t>
  </si>
  <si>
    <t>Data retention policies are in place, though there is ongoing work to improve handling and retention policies. Old storage systems like AppX are being reviewed for data reduction, but complications such as data ownership and retention conflicts negatively impact the effort.</t>
  </si>
  <si>
    <t>Data classification standards are in place, with ongoing updates. Data Classification tagging and discovery is implemented in email and file shares using Veronis. Microsoft Purview does the Data Governance for M365, reviewed weekly.</t>
  </si>
  <si>
    <t>Data flow diagrams are automatically created through governance tools, with some manual documentation. Data Lakes and Factories are well documented. Data stores are logically stored in iServer, with weekly reviews.</t>
  </si>
  <si>
    <t>Sensitive data at rest is encrypted at the database level using AES-2048 by Talis. SQL databases are backed up by Azure, and older data warehouses are masked.</t>
  </si>
  <si>
    <t xml:space="preserve">Enterprise assets and software are securely managed using ITAM, SCCM, Intune, SolarWinds, and JAMF, with administrative interfaces accessed over secure protocols like SSH and HTTPS. </t>
  </si>
  <si>
    <t>Unnecessary services on enterprise assets and software are uninstalled or disabled to minimize attack surfaces. Insecure protocols like Telnet and HTTP are avoided.</t>
  </si>
  <si>
    <t>Dormant accounts are purged after 6 months. Quarterly reviews ensure compliance with this policy.</t>
  </si>
  <si>
    <t>Secure disposal processes are implemented, and secure destruction of media devices by POSRG come with Certificates of Destruction (CoD).</t>
  </si>
  <si>
    <t xml:space="preserve">Unique passwords for accounts are automatically required upon setup. </t>
  </si>
  <si>
    <t>Delinea is used to store Privileged Accounts, with passwords rotated every time credentials are checked in or at most every 24 hours if not used.</t>
  </si>
  <si>
    <t xml:space="preserve">An automated access revoking process is in place, with accounts disabled immediately upon termination or role change. This process preserves audit trails and is managed through SailPoint and ServiceDesk. There may be some applications that users may still have access post-termination due to not ensuring application owners are removing access. </t>
  </si>
  <si>
    <t>MFA is required for all administrative access accounts through Delinea.</t>
  </si>
  <si>
    <t>MFA is required for all externally-exposed applications. Users are required to access corporate resources through Cisco Roam environments.</t>
  </si>
  <si>
    <t>MFA is enforced for remote network access, ensuring secure access to enterprise resources. Users are required to access corporate resources through Cisco Roam environments.</t>
  </si>
  <si>
    <t>An inventory of authentication and authorization systems is maintained and reviewed annually. Systems include Entra and Delinea for authentication and authorization. Users have a preference over the MFA authenticator, but mostly Microsoft Authenticator is used.</t>
  </si>
  <si>
    <t xml:space="preserve">A risk-based remediation strategy is documented and maintained, with monthly reviews. Criticals and highs have a 30 day SLA to remediate, Mediums are 60 days, and Lows are 90 days. </t>
  </si>
  <si>
    <t>A documented vulnerability management process is established and maintained for all enterprise assets. The process is reviewed and updated annually, with changes communicated through regular meetings. Qualys VM as well as Crowdstrike is used for continuous monitoring, with weekly reports generated and reviewed.</t>
  </si>
  <si>
    <t xml:space="preserve">Patch cycles for systems and servers are organized into different zones for effective management, done weekly through SCCM. Workstations have automated patching schedules as well through SCCM and Intune. </t>
  </si>
  <si>
    <t>Web browsers are updated at least thrice a week. Third-party applications have been lacking with SCCM but are supported by Qualys VM scans to discover the vulnerabilities.</t>
  </si>
  <si>
    <t>Automated vulnerability scans of internal enterprise assets are performed continuously using Qualys VM. Both authenticated and unauthenticated scans are conducted to ensure comprehensive coverage. Application code vulnerability scans are not performed.</t>
  </si>
  <si>
    <t>An audit log management process is established and maintained, defining the enterprise's logging requirements. Documentation is reviewed and updated annually. Artic Wolf is used to manage and track event logs, supported by a 24/7 MDR service.</t>
  </si>
  <si>
    <t xml:space="preserve">Adequate storage for logging destinations is maintained to comply with the audit log management process. </t>
  </si>
  <si>
    <t>Audit logs are collected across all enterprise assets as per the audit log management process. Entra, CrowdStrike, Veronis, Firewall logs,  and server syslogs are integrated with Artic Wolf for logging and monitoring. Qualys, Service Manager, and Proofpoint logs are not collected in Artic Wolf.</t>
  </si>
  <si>
    <t>Enterprise asset inventory is managed through ITAM, SCCM, Intune and Service Manager, with detailed documentation of asset status, location, and user assignments. Mobile devices are managed through Intune, and Macs are being integrated via JAMF Pro. Inventory updates occur regularly, reaching 97% in effective management for the past 9 months. LogicGate is used for tracking findings and updates.</t>
  </si>
  <si>
    <t xml:space="preserve">Detailed audit logging is adequately configured for enterprise assets containing sensitive data. </t>
  </si>
  <si>
    <t xml:space="preserve">DNS query audit logs are collected on enterprise assets where supported. DNS filtering is done at the firewall level and is ingested to Artic Wolf. Azure DNS is used for public DNS, while internal DNS is managed on Microsoft DNS servers. </t>
  </si>
  <si>
    <t>URL request audit logs are collected on enterprise assets where supported. URL filtering is done at the firewall level and is ingested to Artic Wolf. Netskope also provides URL filtering and monitoring for remote access, with alerts reported to Artic Wolf. Netskope also gives a daily report of users that go to specific banned categories.</t>
  </si>
  <si>
    <t>Audit logs are adequately retained across enterprise assets, ensuring compliance and availability for forensic analysis.</t>
  </si>
  <si>
    <t>Audit logs are continuously reviewed by the Security Operations Team and Alert Logic MDR services.</t>
  </si>
  <si>
    <t>Service provider logs are collected depending on the vendor and capabilities. Some services and vendors that may cause a negative impact may not be currently collected.</t>
  </si>
  <si>
    <t xml:space="preserve">Microsoft products, NetApp, and core banking systems are backed up using the higher tiers of Azure Backups as well as Rubric, with Nutanix systems in place for replication. </t>
  </si>
  <si>
    <t>Full backups are done periodically and incremental backups are done daily.</t>
  </si>
  <si>
    <t>There are instances of airgapped backups that are airgapped in Azure.</t>
  </si>
  <si>
    <t>Data recovery processes and backups are tested annually in Nutanix and Azure as well as when there is a major change to the environment.</t>
  </si>
  <si>
    <t>Network architecture is logically segregated and maintained using Cisco Vmanage, SolarWinds for compliance testing, LibreNMS for inventory and health monitoring, and device consoles such as Panorama to manage the firewalls.</t>
  </si>
  <si>
    <t xml:space="preserve">Service System Center in Service Manager and ITAM are the sources of truth for network diagrams. Tufin is used as the firewall management tool for the Checkpoint and Palo Alto firewalls. EveNG is used to test configuration changes. </t>
  </si>
  <si>
    <t xml:space="preserve">AAA services are done through ClearPass by Aruba. Other devices such as printers use MAC authentication. </t>
  </si>
  <si>
    <t xml:space="preserve">Remote devices are required to utilize a VPN and authenticate to enterprise-managed AAA infrastructure before accessing resources. This is enforced using tools like Cisco AnyConnect and Duo Security. All remote access is done through Roam. </t>
  </si>
  <si>
    <t xml:space="preserve">Admin work is done through dedicated consoles and platforms. LibreNMS is on a dedicated host, but admin work is done through SSH in Roam. </t>
  </si>
  <si>
    <t>Security event alerting is centralized using a Artic Wolf. The SIEM is configured with vendor-defined event correlation alerts and integrates with a log analytics platform for enhanced security event analysis.</t>
  </si>
  <si>
    <t>Crowdstrike has host-based intrusion detection solutions implemented on all appropriate enterprise assets.</t>
  </si>
  <si>
    <t>Checkpoint and Palo Alto firewalls, as well as dedicated appliances from SecureWorks and Artic Wolf have network intrusion detection enabled, conducting traffic analyses and collecting network traffic flow logs.</t>
  </si>
  <si>
    <t xml:space="preserve">Network traffic flow logs are collected by an Artic Wolf appliance that does traffic analysis, physically tapped into a matrix switch on the network. </t>
  </si>
  <si>
    <t>Crowdstrike has host-based intrusion prevention solutions implemented on all appropriate enterprise assets.</t>
  </si>
  <si>
    <t>Checkpoint and Palo Alto firewalls, as well as dedicated appliances from SecureWorks and Artic Wolf have network intrusion prevention enabled, conducting traffic analyses and collecting network traffic flow logs.</t>
  </si>
  <si>
    <t xml:space="preserve">Port-level access control is enforced using 802.1x protocols. Devices must authenticate before gaining network access, ensuring only authorized users and devices can connect. Devices must also be domain-joined to connect to the network. </t>
  </si>
  <si>
    <t xml:space="preserve">Traffic filters are on the routers themselves. SD-WAN filters traffic from the network to the offices, unless it is a logically segregated network which goes through the firewall. </t>
  </si>
  <si>
    <t>Application filtering is done by Security Groups, not on the Application. Has application-based rules on the Palo Alto devices, as well as uses port-based rules.</t>
  </si>
  <si>
    <t>Security event alerting thresholds are continuously reviewed and tuned by the Security Operations Team and Artic Wolf MDR. This tuning helps reduce false positives and ensures that alerts are relevant and actionable.</t>
  </si>
  <si>
    <t>A comprehensive security awareness program is established and maintained. Training is conducted for new hires on-site and must be completed within 14 days. PAM users get additional training on the use of privileged accounts and using Delinea. The Security Awareness Program content is reviewed and updated annually or when significant changes occur.</t>
  </si>
  <si>
    <t>Employees are trained to recognize and report potential security incidents. Currently working on updating the Incident Response Reporting process and training.</t>
  </si>
  <si>
    <t>Users are not trained to identify security updates because they are done automatically with automated alerts if software is not updated.</t>
  </si>
  <si>
    <t xml:space="preserve">Workforce members are trained to recognize various types of social engineering attacks, including phishing, pre-texting, and tailgating. Phishing campaigns are done monthly through Proofpoint. </t>
  </si>
  <si>
    <t>The inventory lists about 70-80 critical vendors based on service provided. Criteria for critical vendors is based on ERP and Inherent Risk Profile. Migration from Vendor Insight to LogicGate is complete, and the inventory is managed in LogicGate.</t>
  </si>
  <si>
    <t>Full Path Review creates ERP and asks about relationship requirements, tailoring the level of review analysis based on Inherent Risk.</t>
  </si>
  <si>
    <t>The responsibility for vendor notification and contracts includes Notification Language. After all reviews, TPRM Risk Review approves and coordinates with Procurement and Legal for contractual review. Once approved by Legal and Procurement, it can be initiated.</t>
  </si>
  <si>
    <t>Assessments are done every 12 months. Re-assessments are performed by engagements; auto-renewals and perpetual engagements are not done. Service changes or new engagements are the only ones assessed at this time.</t>
  </si>
  <si>
    <t>Most of the responsibility falls on app owners. ISOW and CISA threat feeds are used. Vendors are not continuously monitored.</t>
  </si>
  <si>
    <t>DevOps uses GitHub Advanced Security for scanning. Developers create pull requests, peer-reviewed by at least two developers for functionality, quality, and design. Once approved, it goes to Dev for testing. Scrum Team creates Change Requests for CAB approval, then IT Operations release to Production. No scheduled training currently provided. Developers have dedicated Developer VMs in Azure.</t>
  </si>
  <si>
    <t>Security initiates an application penetration test for big projects. Annual pen tests are conducted for externally exposed applications or those with API calls.</t>
  </si>
  <si>
    <t>No scheduled training currently provided.</t>
  </si>
  <si>
    <t>No SAST or DAST currently; these will be implemented with the scanning tool.</t>
  </si>
  <si>
    <t>Not currently scanning for vulnerabilities in SDLC; working on GitHub for scanning. Currently using GitHub Advanced Security for DevOps. Looking at Microsoft Defender for IaaC scanning.</t>
  </si>
  <si>
    <t xml:space="preserve">Third-party software is managed but not at the component-level. </t>
  </si>
  <si>
    <t xml:space="preserve">Third-party software is managed and updated through the software management tools. </t>
  </si>
  <si>
    <t>Vulnerability Severity Rating System has not been established as the GitHub scanning efforts are not yet complete.</t>
  </si>
  <si>
    <t xml:space="preserve">Developers have their own Developer VM in Azure, with dedicated Developer Configuration profile. </t>
  </si>
  <si>
    <t xml:space="preserve">Dev is in South Central and North Central, traffic either goes into one or the other but both are hot. Application Service Environment is just a containerized construct to separate the prod and non-prod systems. </t>
  </si>
  <si>
    <t>Security initiates application pen tests for big projects. Conducts annual pen tests for applications that are externally exposed or have API calls.</t>
  </si>
  <si>
    <t xml:space="preserve">Threat Modeling is not yet in place due to lack of scanning effort. Leveraging GitHub Advanced Security in the interim. </t>
  </si>
  <si>
    <t>Designated personnel manage incident handling, with roles and responsibilities detailed in the Incident Response Plan, which is reviewed and approved annually by the Board.</t>
  </si>
  <si>
    <t>Contact information for reporting security incidents is maintained and verified annually.</t>
  </si>
  <si>
    <t>Enterprise process for reporting incidents is established, including reporting timeframe, personnel, mechanisms, and minimum information. Reviewed annually.</t>
  </si>
  <si>
    <t>Incident response process includes roles and responsibilities, compliance requirements, and a communication plan. Reviewed annually.</t>
  </si>
  <si>
    <t>Key roles and responsibilities for incident response are assigned and reviewed annually.</t>
  </si>
  <si>
    <t>Communication mechanisms during incident response include phone calls, emails, and letters. These are reviewed annually.</t>
  </si>
  <si>
    <t>Routine incident response exercises are conducted annually with Rivale, including tabletop exercises based on relevant topics.</t>
  </si>
  <si>
    <t>Formal after-action reviews are hosted by third-party facilitators, providing recommendations and tracking them for improvement.</t>
  </si>
  <si>
    <t>Incident thresholds are established and maintained, reviewed annually.</t>
  </si>
  <si>
    <t>Periodic internal penetration tests are performed annually by Sentinel Tech.</t>
  </si>
  <si>
    <t xml:space="preserve">Periodic external penetration tests are performed annually by Sentinel Tech. </t>
  </si>
  <si>
    <t>Remediations are somewhat performed but insufficient resources negatively impact the remediation process.</t>
  </si>
  <si>
    <t xml:space="preserve">Maintenance scans are performed 6 months post-test to validate remediation efforts. </t>
  </si>
  <si>
    <t>No gaps identified.</t>
  </si>
  <si>
    <t>Failure to establish and maintain a detailed asset inventory may result in unidentified and unmanaged assets, increasing the risk of data breaches or security incidents.</t>
  </si>
  <si>
    <t>Failure to address unauthorized assets may allow unapproved and potentially malicious devices to access the network, leading to security breaches.</t>
  </si>
  <si>
    <t>Failure to utilize an active discovery tool may result in unknown and unmanaged assets on the network, increasing the risk of vulnerabilities and unauthorized access.</t>
  </si>
  <si>
    <t>Failure to use DHCP logging to update the asset inventory may lead to incomplete or outdated asset records, increasing the risk of security incidents.</t>
  </si>
  <si>
    <t>Failure to use a passive asset discovery tool may result in unidentified assets on the network, leading to potential security vulnerabilities and unauthorized access.</t>
  </si>
  <si>
    <t>Failure to establish and maintain a software inventory may result in untracked software, increasing the risk of unlicensed or vulnerable software being used within the enterprise.</t>
  </si>
  <si>
    <t>Failure to ensure authorized software is currently supported may lead to the use of outdated and unsupported software, increasing the risk of vulnerabilities and security breaches.</t>
  </si>
  <si>
    <t>Failure to address unauthorized software may allow the use of unapproved and potentially harmful software, leading to security vulnerabilities.</t>
  </si>
  <si>
    <t>Failure to utilize automated software inventory tools may result in incomplete software tracking, increasing the risk of unapproved software being used.</t>
  </si>
  <si>
    <t>Failure to allowlist authorized software may permit the execution of unauthorized or malicious software, leading to potential security breaches.</t>
  </si>
  <si>
    <t>Failure to allowlist authorized libraries may lead to the loading of unauthorized or malicious libraries, increasing the risk of system compromise.</t>
  </si>
  <si>
    <t>Failure to allowlist authorized scripts may result in the execution of unauthorized or harmful scripts, leading to potential security incidents.</t>
  </si>
  <si>
    <t>Failure to establish and maintain a data management process may result in improper handling and protection of sensitive data, leading to potential data breaches.</t>
  </si>
  <si>
    <t>Failure to maintain a data inventory may lead to unmanaged and unprotected sensitive data, increasing the risk of data loss or unauthorized access.</t>
  </si>
  <si>
    <t>Failure to configure data access control lists may result in unauthorized access to sensitive data, leading to potential data breaches.</t>
  </si>
  <si>
    <t>Improvement needed in data handling and retention policies.</t>
  </si>
  <si>
    <t>Inadequate data retention policies may lead to retention conflicts, excessive data storage, and potential regulatory non-compliance.</t>
  </si>
  <si>
    <t>Failure to securely dispose of data may result in unauthorized access to sensitive information, leading to potential data breaches.</t>
  </si>
  <si>
    <t>Failure to encrypt data on end-user devices may lead to unauthorized access to sensitive information in case of device loss or theft.</t>
  </si>
  <si>
    <t>Failure to establish and maintain a data classification scheme may result in improper handling and protection of sensitive data, leading to potential data breaches.</t>
  </si>
  <si>
    <t>Failure to document data flows may lead to unmanaged data transfers and potential data loss or breaches.</t>
  </si>
  <si>
    <t>Unclear if USBs are automatically encrypted.</t>
  </si>
  <si>
    <t>Lack of automatic encryption on USBs may lead to unauthorized access to sensitive data if the media is lost or stolen.</t>
  </si>
  <si>
    <t>Failure to encrypt sensitive data in transit may result in interception and unauthorized access during data transfer.</t>
  </si>
  <si>
    <t>Failure to encrypt sensitive data at rest may lead to unauthorized access and potential data breaches.</t>
  </si>
  <si>
    <t>Failure to segment data processing and storage based on sensitivity may lead to unauthorized access and increased risk of data breaches.</t>
  </si>
  <si>
    <t>Failure to deploy a DLP solution may lead to undetected data loss incidents and increased risk of data breaches.</t>
  </si>
  <si>
    <t>Failure to log sensitive data access may lead to undetected unauthorized access and potential data breaches.</t>
  </si>
  <si>
    <t>Failure to establish and maintain a secure configuration process may result in vulnerabilities and misconfigurations, leading to potential security breaches.</t>
  </si>
  <si>
    <t>Failure to establish and maintain a secure configuration process for network infrastructure may result in vulnerabilities and network misconfigurations, leading to potential security breaches.</t>
  </si>
  <si>
    <t>Session locking on laptops exceeds the recommended period of inactivity.</t>
  </si>
  <si>
    <t>Exceeding recommended session locking periods may increase the risk of unauthorized access to enterprise assets.</t>
  </si>
  <si>
    <t>Failure to implement and manage firewalls on servers may result in unauthorized access and potential security breaches.</t>
  </si>
  <si>
    <t>Failure to implement and manage firewalls on end-user devices may result in unauthorized access and potential security breaches.</t>
  </si>
  <si>
    <t>Failure to securely manage enterprise assets and software may lead to unauthorized access and potential security breaches.</t>
  </si>
  <si>
    <t>Failure to manage default accounts on enterprise assets and software may lead to unauthorized access and potential security breaches.</t>
  </si>
  <si>
    <t>Failure to uninstall or disable unnecessary services may result in increased attack surfaces and potential security breaches.</t>
  </si>
  <si>
    <t>Failure to configure trusted DNS servers may result in DNS spoofing attacks and unauthorized access.</t>
  </si>
  <si>
    <t>Failure to enforce automatic device lockout may lead to unauthorized access to enterprise data on lost or stolen devices.</t>
  </si>
  <si>
    <t>Failure to enforce remote wipe capability may result in unauthorized access to enterprise data on lost or stolen devices.</t>
  </si>
  <si>
    <t>Failure to separate enterprise workspaces on mobile end-user devices may result in unauthorized access to enterprise data.</t>
  </si>
  <si>
    <t>Failure to maintain an inventory of accounts may lead to unauthorized access and potential security breaches.</t>
  </si>
  <si>
    <t>Failure to use unique passwords may lead to unauthorized access and potential security breaches.</t>
  </si>
  <si>
    <t>Dormant accounts are disabled after a longer period than recommended.</t>
  </si>
  <si>
    <t>Longer periods for disabling dormant accounts may increase the risk of unauthorized access.</t>
  </si>
  <si>
    <t>Failure to restrict administrator privileges may lead to misuse of administrative privileges and potential security breaches.</t>
  </si>
  <si>
    <t>Failure to maintain an inventory of service accounts may lead to unauthorized access and potential security breaches.</t>
  </si>
  <si>
    <t>Failure to centralize account management may lead to inconsistencies and potential security breaches.</t>
  </si>
  <si>
    <t>Failure to establish an access granting process may lead to unauthorized access and potential security breaches.</t>
  </si>
  <si>
    <t>Some applications may still have user access post-termination due to incomplete access revocation.</t>
  </si>
  <si>
    <t>Incomplete access revocation may lead to unauthorized access and potential security breaches.</t>
  </si>
  <si>
    <t>Failure to require MFA for externally-exposed applications may lead to unauthorized access and potential security breaches.</t>
  </si>
  <si>
    <t>Failure to require MFA for remote network access may lead to unauthorized access and potential security breaches.</t>
  </si>
  <si>
    <t>Failure to require MFA for administrative access may lead to unauthorized access and potential security breaches.</t>
  </si>
  <si>
    <t>Failure to maintain an inventory of authentication and authorization systems may lead to unauthorized access and potential security breaches.</t>
  </si>
  <si>
    <t>Failure to centralize access control may lead to inconsistencies and potential security breaches.</t>
  </si>
  <si>
    <t>Failure to define and maintain role-based access control may lead to unauthorized access and potential security breaches.</t>
  </si>
  <si>
    <t>Failure to establish and maintain a vulnerability management process may lead to undetected vulnerabilities and potential security breaches.</t>
  </si>
  <si>
    <t>Failure to establish and maintain a remediation process may lead to unaddressed vulnerabilities and potential security breaches.</t>
  </si>
  <si>
    <t>Failure to perform automated operating system patch management may lead to outdated systems and potential security breaches.</t>
  </si>
  <si>
    <t>Lack of automated patch management for third-party applications.</t>
  </si>
  <si>
    <t>Lack of automated patch management for third-party applications may lead to unpatched vulnerabilities and potential security breaches.</t>
  </si>
  <si>
    <t>Application code vulnerability scans are not performed.</t>
  </si>
  <si>
    <t>Lack of application code vulnerability scans may lead to undetected vulnerabilities in application code and potential security breaches.</t>
  </si>
  <si>
    <t>Failure to perform automated vulnerability scans of externally-exposed enterprise assets may lead to undetected vulnerabilities and potential security breaches.</t>
  </si>
  <si>
    <t>Failure to remediate detected vulnerabilities may lead to unaddressed vulnerabilities and potential security breaches.</t>
  </si>
  <si>
    <t>Failure to establish and maintain an audit log management process may lead to inadequate logging and potential difficulties in forensic analysis.</t>
  </si>
  <si>
    <t>Some logs (Qualys, Service Manager, and Proofpoint) are not collected in Artic Wolf.</t>
  </si>
  <si>
    <t>Failure to collect logs from all systems may result in incomplete monitoring and potential undetected threats.</t>
  </si>
  <si>
    <t>Failure to ensure adequate storage for audit logs may lead to loss of critical log data and hinder forensic investigations.</t>
  </si>
  <si>
    <t>Failure to standardize time synchronization may lead to inaccurate log data, complicating forensic analysis and incident response.</t>
  </si>
  <si>
    <t>Failure to collect detailed audit logs may hinder forensic investigations and incident response.</t>
  </si>
  <si>
    <t>Failure to collect DNS query audit logs may lead to undetected DNS-based attacks and hinder forensic analysis.</t>
  </si>
  <si>
    <t>Failure to collect URL request audit logs may lead to undetected web-based attacks and hinder forensic analysis.</t>
  </si>
  <si>
    <t>Failure to collect command-line audit logs may hinder forensic investigations and incident response.</t>
  </si>
  <si>
    <t>Failure to centralize audit logs may lead to fragmented log data and hinder comprehensive monitoring and analysis.</t>
  </si>
  <si>
    <t>Failure to retain audit logs for a minimum of 90 days may hinder forensic investigations and compliance efforts.</t>
  </si>
  <si>
    <t>Failure to conduct regular audit log reviews may lead to undetected anomalies and potential security incidents.</t>
  </si>
  <si>
    <t>Some service provider logs are not collected.</t>
  </si>
  <si>
    <t>Failure to collect service provider logs may lead to incomplete monitoring and potential undetected threats from third-party services.</t>
  </si>
  <si>
    <t>Browser extensions are still usable despite Office Store being disabled.</t>
  </si>
  <si>
    <t>Allowing browser extensions may expose the enterprise to security vulnerabilities and malicious extensions.</t>
  </si>
  <si>
    <t>Failure to use DNS filtering services may result in increased exposure to malicious domains.</t>
  </si>
  <si>
    <t>Failure to maintain and enforce URL filters may allow access to malicious or unapproved websites, increasing the risk of security incidents.</t>
  </si>
  <si>
    <t>Allowing some browser extensions on laptops may introduce security risks.</t>
  </si>
  <si>
    <t>Unrestricted browser extensions on laptops may lead to the installation of malicious or unauthorized extensions, posing security risks.</t>
  </si>
  <si>
    <t>DMARC policy and verification are not fully implemented.</t>
  </si>
  <si>
    <t>Lack of full DMARC implementation may result in higher susceptibility to email spoofing and phishing attacks.</t>
  </si>
  <si>
    <t>Failure to block unnecessary file types may allow malicious files to enter the enterprise’s email system, increasing the risk of malware infections.</t>
  </si>
  <si>
    <t>Failure to deploy and maintain email server anti-malware protections may result in undetected malware infections from email attachments.</t>
  </si>
  <si>
    <t>Failure to deploy and maintain anti-malware software may lead to increased vulnerability to malware infections.</t>
  </si>
  <si>
    <t>Failure to configure automatic anti-malware signature updates may result in outdated protections and increased vulnerability to malware.</t>
  </si>
  <si>
    <t>Failure to disable autorun and autoplay may allow automatic execution of malicious files from removable media, increasing the risk of infections.</t>
  </si>
  <si>
    <t>Failure to automatically scan removable media may allow malware to enter the enterprise network undetected.</t>
  </si>
  <si>
    <t>Failure to enable anti-exploitation features may leave enterprise assets vulnerable to exploitation and attacks.</t>
  </si>
  <si>
    <t>Failure to centrally manage anti-malware software may lead to inconsistent protection and increased risk of malware infections.</t>
  </si>
  <si>
    <t>Failure to use behavior-based anti-malware software may result in undetected advanced malware threats.</t>
  </si>
  <si>
    <t>Failure to establish and maintain a data recovery process may lead to data loss and extended downtime in the event of a disaster.</t>
  </si>
  <si>
    <t>Failure to perform automated backups may result in data loss and inability to recover critical information.</t>
  </si>
  <si>
    <t>Failure to protect recovery data with equivalent controls may lead to data breaches and unauthorized access to sensitive information.</t>
  </si>
  <si>
    <t>Failure to maintain an isolated instance of recovery data may result in data loss or corruption during a cyber attack.</t>
  </si>
  <si>
    <t>Backup recovery is tested annually instead of quarterly.</t>
  </si>
  <si>
    <t>Inadequate testing frequency may lead to undetected issues in backup and recovery processes, causing failures during actual recovery efforts.</t>
  </si>
  <si>
    <t>Failure to keep network infrastructure up-to-date may expose the enterprise to security vulnerabilities and operational issues.</t>
  </si>
  <si>
    <t>Failure to establish and maintain a secure network architecture may lead to unauthorized access and data breaches.</t>
  </si>
  <si>
    <t>Failure to securely manage network infrastructure may result in unauthorized changes and vulnerabilities.</t>
  </si>
  <si>
    <t>Failure to maintain up-to-date architecture diagrams may hinder troubleshooting and increase the risk of misconfigurations.</t>
  </si>
  <si>
    <t>Failure to centralize network AAA may lead to inconsistent authentication, authorization, and auditing practices, increasing security risks.</t>
  </si>
  <si>
    <t>Failure to use secure network management and communication protocols may result in unauthorized access and data breaches.</t>
  </si>
  <si>
    <t>Failure to ensure remote devices utilize a VPN and connect to AAA infrastructure may result in unauthorized access to enterprise resources.</t>
  </si>
  <si>
    <t>Lack of dedicated and isolated computing resources for administrative work may increase the risk of unauthorized access and operational interference.</t>
  </si>
  <si>
    <t>Failure to centralize security event alerting may result in delayed detection and response to security incidents.</t>
  </si>
  <si>
    <t>Failure to deploy host-based intrusion detection solutions may lead to undetected malicious activities on enterprise assets.</t>
  </si>
  <si>
    <t>Failure to deploy a network intrusion detection solution may lead to undetected network-based attacks.</t>
  </si>
  <si>
    <t>Failure to perform traffic filtering between network segments may allow lateral movement of threats within the network.</t>
  </si>
  <si>
    <t>Failure to manage access control for remote assets may result in unauthorized access to enterprise resources.</t>
  </si>
  <si>
    <t>Failure to collect network traffic flow logs may hinder the ability to detect and respond to network anomalies and threats.</t>
  </si>
  <si>
    <t>Failure to deploy host-based intrusion prevention solutions may result in undetected and unmitigated malicious activities on enterprise assets.</t>
  </si>
  <si>
    <t>Failure to deploy a network intrusion prevention solution may lead to undetected and unmitigated network-based attacks.</t>
  </si>
  <si>
    <t>Failure to deploy port-level access control may allow unauthorized devices to access the network.</t>
  </si>
  <si>
    <t>Lack of direct application layer filtering may result in insufficient filtering of application-level threats.</t>
  </si>
  <si>
    <t>Failure to tune security event alerting thresholds may result in an overwhelming number of false positives or missed true positive alerts.</t>
  </si>
  <si>
    <t>Failure to establish and maintain a security awareness program may lead to increased susceptibility to social engineering and other security threats.</t>
  </si>
  <si>
    <t>Failure to train workforce members on recognizing social engineering attacks may increase the risk of successful phishing and other social engineering attacks.</t>
  </si>
  <si>
    <t>Failure to train workforce members on authentication best practices may lead to weak passwords and poor credential management, increasing the risk of unauthorized access.</t>
  </si>
  <si>
    <t>Failure to train workforce on data handling best practices may result in data mishandling and increased risk of data breaches.</t>
  </si>
  <si>
    <t>Failure to train workforce members on causes of unintentional data exposure may lead to accidental data leaks and breaches.</t>
  </si>
  <si>
    <t>Incident Response Reporting process and training are currently being updated.</t>
  </si>
  <si>
    <t>Incomplete training on recognizing and reporting security incidents may delay incident response and increase the impact of security events.</t>
  </si>
  <si>
    <t>Users may not be aware of or report missing security updates, leading to vulnerabilities remaining unaddressed.</t>
  </si>
  <si>
    <t>Failure to train workforce on the dangers of insecure networks may lead to data breaches and unauthorized access to enterprise data.</t>
  </si>
  <si>
    <t>Failure to conduct role-specific security training may result in inadequate preparedness for specific threats relevant to different roles.</t>
  </si>
  <si>
    <t>Failure to establish and maintain a service provider inventory may result in unmanaged third-party risks.</t>
  </si>
  <si>
    <t>Failure to establish and maintain a service provider management policy may lead to inconsistent management of service provider risks.</t>
  </si>
  <si>
    <t>Failure to classify service providers may result in unmanaged or unrecognized risks from service providers.</t>
  </si>
  <si>
    <t>Failure to ensure service provider contracts include security requirements may result in inadequate protection of enterprise data and resources.</t>
  </si>
  <si>
    <t>Failure to assess service providers may lead to undetected risks and non-compliance with security requirements.</t>
  </si>
  <si>
    <t>Lack of continuous monitoring of service providers.</t>
  </si>
  <si>
    <t>Failure to continuously monitor service providers may allow emerging risks to go undetected.</t>
  </si>
  <si>
    <t>Failure to securely decommission service providers may lead to unauthorized access to enterprise data and resources.</t>
  </si>
  <si>
    <t>Lack of secure coding training may result in developers not following best practices, increasing the risk of vulnerabilities.</t>
  </si>
  <si>
    <t>Lack of a complete vulnerability scanning process in SDLC.</t>
  </si>
  <si>
    <t>Incomplete vulnerability scanning in SDLC may allow vulnerabilities to go undetected and unaddressed, increasing security risks.</t>
  </si>
  <si>
    <t>Failure to perform root cause analysis on security vulnerabilities may result in repeated vulnerabilities and increased security risks.</t>
  </si>
  <si>
    <t>Lack of detailed inventory of third-party software components.</t>
  </si>
  <si>
    <t>Failure to manage a detailed inventory of third-party software components may lead to unrecognized risks and vulnerabilities.</t>
  </si>
  <si>
    <t>Failure to use up-to-date and trusted third-party software components may increase the risk of vulnerabilities and security breaches.</t>
  </si>
  <si>
    <t>Lack of a severity rating system for application vulnerabilities.</t>
  </si>
  <si>
    <t>Failure to establish a severity rating system may result in ineffective prioritization and remediation of vulnerabilities.</t>
  </si>
  <si>
    <t>Failure to use standard hardening configuration templates may increase the risk of security misconfigurations and vulnerabilities.</t>
  </si>
  <si>
    <t>Failure to separate production and non-production systems may lead to data contamination and increased security risks.</t>
  </si>
  <si>
    <t>Lack of scheduled training for developers on secure coding practices.</t>
  </si>
  <si>
    <t>Failure to train developers on secure coding may result in insecure code and increased vulnerabilities.</t>
  </si>
  <si>
    <t>Failure to apply secure design principles in application architectures may lead to increased vulnerabilities and security risks.</t>
  </si>
  <si>
    <t>Failure to leverage vetted modules or services for application security components may increase the risk of security vulnerabilities and implementation errors.</t>
  </si>
  <si>
    <t>Lack of static and dynamic analysis tools for code-level security checks.</t>
  </si>
  <si>
    <t>Failure to implement code-level security checks may lead to undetected vulnerabilities in the code.</t>
  </si>
  <si>
    <t>Failure to conduct application penetration testing may result in undetected business logic vulnerabilities and increased security risks.</t>
  </si>
  <si>
    <t>Lack of threat modeling in the application development process.</t>
  </si>
  <si>
    <t>Failure to conduct threat modeling may lead to unaddressed security design flaws and increased vulnerabilities.</t>
  </si>
  <si>
    <t>Failure to designate personnel to manage incident handling may result in uncoordinated and ineffective incident response efforts.</t>
  </si>
  <si>
    <t>Failure to maintain up-to-date contact information may result in delayed or ineffective communication during security incidents.</t>
  </si>
  <si>
    <t>Failure to establish a process for reporting incidents may lead to unreported incidents and increased security risks.</t>
  </si>
  <si>
    <t>Failure to establish an incident response process may result in uncoordinated and ineffective response to security incidents.</t>
  </si>
  <si>
    <t>Failure to assign key roles and responsibilities may lead to confusion and inefficiencies during incident response.</t>
  </si>
  <si>
    <t>Failure to define communication mechanisms may result in ineffective communication during security incidents.</t>
  </si>
  <si>
    <t>Failure to conduct routine incident response exercises may result in unpreparedness and ineffective response to real-world incidents.</t>
  </si>
  <si>
    <t>Failure to conduct post-incident reviews may result in missed opportunities for improvement and recurrence of similar incidents.</t>
  </si>
  <si>
    <t>Failure to establish and maintain security incident thresholds may result in inconsistent incident classification and response.</t>
  </si>
  <si>
    <t>Failure to establish and maintain a penetration testing program may result in undetected vulnerabilities and security gaps.</t>
  </si>
  <si>
    <t>Failure to perform periodic external penetration tests may result in undetected external vulnerabilities and increased security risks.</t>
  </si>
  <si>
    <t>Insufficient resources for remediation.</t>
  </si>
  <si>
    <t>Failure to adequately remediate penetration test findings may result in persistent vulnerabilities and increased security risks.</t>
  </si>
  <si>
    <t>Failure to validate security measures after penetration tests may result in undetected or unresolved security gaps.</t>
  </si>
  <si>
    <t>Failure to perform periodic internal penetration tests may result in undetected internal vulnerabilities and increased security risks.</t>
  </si>
  <si>
    <t>Unauthorized software is monitored and removed using CrowdStrike, ITAM, JAMF, and Intune. Exceptions are documented, and regular reviews ensure compliance. Users do not have installation privileges to use unauthorized software.</t>
  </si>
  <si>
    <t>Lack of adequate resources delay the remediation process.</t>
  </si>
  <si>
    <t>Accept</t>
  </si>
  <si>
    <t>Streamline data handling and retention policies by clearly defining data ownership and resolving retention conflicts, ensuring alignment with enterprise standards.</t>
  </si>
  <si>
    <t>Ensure that all USB devices are automatically encrypted by default, updating policies and tools to enforce encryption consistently.</t>
  </si>
  <si>
    <t>Implement automated patch management for third-party applications using SCCM or an alternative tool to ensure timely updates and reduce vulnerabilities.</t>
  </si>
  <si>
    <t>Integrate application code vulnerability scans into the SDLC using static and dynamic analysis tools to identify and remediate code-level vulnerabilities.</t>
  </si>
  <si>
    <t>Allocate sufficient resources for the remediation of detected vulnerabilities, ensuring timely and effective resolution to minimize security risks.</t>
  </si>
  <si>
    <t>Integrate Qualys, Service Manager, and Proofpoint logs into Artic Wolf to ensure comprehensive log collection and monitoring across all enterprise assets.</t>
  </si>
  <si>
    <t>Restrict browser extensions to those explicitly approved and necessary for business operations, ensuring all other extensions are disabled to minimize security risks.</t>
  </si>
  <si>
    <t>Enforce stricter controls on laptop browser extensions, allowing only pre-approved extensions to be installed through the official store.</t>
  </si>
  <si>
    <t>Complete the implementation of DMARC by fully configuring SPF and DKIM, and enforce DMARC policy to prevent email spoofing and improve email security.</t>
  </si>
  <si>
    <t>Implement continuous monitoring solutions for service providers, leveraging automated tools to track compliance and receive real-time alerts on security issues.</t>
  </si>
  <si>
    <t>Complete the implementation of vulnerability scanning within the SDLC using GitHub Advanced Security and Microsoft Defender for IaaC, ensuring all code and infrastructure vulnerabilities are identified and addressed.</t>
  </si>
  <si>
    <t>Create and maintain a detailed inventory of third-party software components, including risk assessments and monthly evaluations to ensure all components are current and secure.</t>
  </si>
  <si>
    <t>Implement an annual training program for developers focused on secure coding practices and application security concepts, reinforcing these principles through regular updates and refreshers.</t>
  </si>
  <si>
    <t>Deploy static and dynamic analysis tools within the application lifecycle to ensure secure coding practices are followed and vulnerabilities are identified early.</t>
  </si>
  <si>
    <t>Integrate threat modeling into the application development process by training personnel and utilizing structured methods to identify and address security design flaws before coding begins.</t>
  </si>
  <si>
    <t>Allocate sufficient resources for the remediation of penetration test findings, ensuring timely and effective resolution of identified vulnerabilities to mitigate security risks.</t>
  </si>
  <si>
    <t>Information assets may not be appropriately secured, even when appropriate security standards protect other assets.
Compromise of information assets may not be identified.</t>
  </si>
  <si>
    <t>Data on removable media is encrypted using enterprise-wide policies and tools. USBs are block for users unless has an approved Exception to Policy, and are managed. It is unclear if USBs are automatically encrypted.</t>
  </si>
  <si>
    <t>Attacks and error may be allowed to occur and escalate if they are not detected. Forensic information may not be available to diagnose incidents and to understand the breadth of impacts.</t>
  </si>
  <si>
    <t>Enforce automatic device lockout following a predetermined threshold of local failed authentication attempts on portable end-user devices, where supported. For laptops, do not allow more than 20 failed authentication attempts; for tablets and smartphones, no more than 10 failed authentication attempts. Example implementations include Microsoft® Intune Device Lock and Apple® Configuration Profile maxFailedAttempts.</t>
  </si>
  <si>
    <t>Service accounts are managed through Delinea, Entra, and SailPoint, and reviewed quarterly.</t>
  </si>
  <si>
    <t>Detected vulnerabilities are remediated based on the documented remediation process. The remediation process is tracked and managed using Qualys VM, with tailored True Risk scoring. Findings are also tracked in LogicGate. Lack of adequate resources delay the remediation process.</t>
  </si>
  <si>
    <t xml:space="preserve">Role-specific security awareness and skills training is provided. Awareness and threats are updated and disseminated through department channels. </t>
  </si>
  <si>
    <t>The approach involves Procurement, Legal, and Info Security. Procurement assigns a Purchase Request Number and generates a Security Review. Full Path Review involves tailoring the level of review analysis based on Inherent Risk, and security is almost always involved. Quick Path Review is managed by Procurement, Legal, and Info Security, considering lawsuits, outsourcing, incidents, and BC/DR, and all information is managed in LogicGate.</t>
  </si>
  <si>
    <t xml:space="preserve">Application Plan is a physical device that sits inside ASE and that is where we deploy our services. Each App Plan has about 15 services which are organized by topics and functions. </t>
  </si>
  <si>
    <t>Has a microservice architecture, which the downside is an application can be hyper focused to a single service, which means it does not have to change much, which means that things may tend to get outdated since it doesnt need to be reviewed. Implementing the vulnerability scanning tool will help automate scanning all of the pipelines and architecture for active development.</t>
  </si>
  <si>
    <t>Tests are performed annually by Sentinel Tech, with maintenance scans 6 months after the test to validate remediation efforts. Uses a physical asset in the environment for gray hat testing and validations.</t>
  </si>
  <si>
    <t>Acquire/ Develop Tools</t>
  </si>
  <si>
    <t>Misuse/ Escalate Privilege</t>
  </si>
  <si>
    <t>CSC 18 - Penetration Testing - Controls 18.01, 18.02, 18.05</t>
  </si>
  <si>
    <t>CSC 7 - Continuous Vulnerability Management - All controls</t>
  </si>
  <si>
    <t>CSC 2 - Inventory and Control of Software Assets - Controls 2.01, 2.02, 2.03, 2.04, 2.05, 2.06, 2.07</t>
  </si>
  <si>
    <t>CSC 6 - Access Control Management - Controls 6.01, 6.02, 6.03, 6.04, 6.05, 6.08</t>
  </si>
  <si>
    <t>CSC 3 - Data Protection - Controls 3.01, 3.02</t>
  </si>
  <si>
    <t xml:space="preserve">CSC 4 - Secure Configuration of Enterprise Assets and Software - Controls 4.01, 4.02, 4.04, 4.05, 4.06, 4.07, 4.08, 4.09. 4.10
CSC 7 - Continuous Vulnerability Management - All controls
CSC 9 - Email and Web Browser Protections - Controls 9.01, 9.02, 9.03, 9.04, 9.06, 9.07
CSC 13 - Network Monitoring and Defense - Controls 13.02,13.03,13.04, 13.05, 13.07, 13.08, 13.10
CSC 16 - Application Software Security - Controls 16.01, 16.08, 16.09, 16.10, 16.13
CSC 18 - Penetration Testing - Controls 18.03
</t>
  </si>
  <si>
    <t>CSC 9 - Email and Web Browser Protections - Controls 9.03, 9.05, 9.06, 9.07
CSC 10 - Malware Defenses - Controls 10.01, 10.02, 10.03, 10.05, 10.07</t>
  </si>
  <si>
    <t>CSC 3 - Data Protection - Controls 3.10
CSC 10 - Malware Defenses - Controls 10.01, 10.02, 10.03, 10.05, 10.07
CSC 12 - Network Infrastructure Management - Controls 12.01, 12.02, 12.07, 12.08</t>
  </si>
  <si>
    <t xml:space="preserve">CSC 5 - Account Management - Controls 5.01, 5.02, 5.03, 5.04, 5.05
CSC 6 - Access Control Management - Controls 6.01, 6.02, 6.03, 6.04, 6.05, 6.08
CSC 7 - Continuous Vulnerability Management - All controls
CSC 12 - Network Infrastructure Management - Controls 12.01, 12.02, 12.07, 12.08
</t>
  </si>
  <si>
    <t>CSC 4 - Secure Configuration of Enterprise Assets and Software - Controls 4.01, 4.02, 4.04, 4.05, 4.06, 4.07, 4.08, 4.09. 4.10
CSC 6 - Access Control Management - Controls 6.01, 6.02, 6.03, 6.04, 6.05, 6.08</t>
  </si>
  <si>
    <t xml:space="preserve">CSC 3 - Data Protection - Controls 3.03
CSC 6 - Access Control Management - Controls 6.01, 6.02, 6.03, 6.04, 6.05, 6.08
CSC 10 - Malware Defenses - Controls 10.01, 10.02, 10.03, 10.05, 10.07
CSC 12 - Network Infrastructure Management - Controls 12.01, 12.02, 12.07, 12.08
</t>
  </si>
  <si>
    <t>CSC 5 - Account Management - Controls 5.01, 5.02, 5.03, 5.04, 5.05
CSC 9 - Email and Web Browser Protections - Controls 9.03
CSC 10 - Malware Defenses - Controls 10.01, 10.02, 10.03, 10.05, 10.07</t>
  </si>
  <si>
    <t>CSC 3 - Data Protection - Controls 3.04,3.05, 3.06, 3.09, 3.11, 3.12</t>
  </si>
  <si>
    <t>CSC 14 - Security Awareness and Skills Training - Controls 14.01, 14.02, 14.03, 14.04, 14.06, 14.09</t>
  </si>
  <si>
    <t>CSC 7 - Continuous Vulnerability Management - All controls
CSC 8 - Audit Log Management - Controls 8.01, 8.02, 8.03, 8.09, 8.10
CSC 10 - Malware Defenses - Controls 10.01, 10.02, 10.03, 10.05, 10.07
CSC 12 - Network Infrastructure Management - Controls 12.01, 12.02, 12.07, 12.08</t>
  </si>
  <si>
    <t>CSC 5 - Account Management - Controls 5.01, 5.02, 5.03, 5.04, 5.05
CSC 12 - Network Infrastructure Management - Controls 12.01, 12.02, 12.07, 12.08
CSC 14 - Security Awareness and Skills Training - Controls 14.01, 14.02, 14.03, 14.04, 14.06, 14.09</t>
  </si>
  <si>
    <t>CSC 8 - Audit Log Management - Controls 8.01, 8.02, 8.03, 8.09, 8.10</t>
  </si>
  <si>
    <t>CSC 5 - Account Management - Controls 5.01, 5.02, 5.03, 5.04, 5.05
CSC 6 - Access Control Management - Controls 6.01, 6.02, 6.03, 6.04, 6.05, 6.08
CSC 7 - Continuous Vulnerability Management - All controls
CSC 10 - Malware Defenses - Controls 10.01, 10.02, 10.03, 10.05, 10.07</t>
  </si>
  <si>
    <t>CSC 5 - Account Management - Controls 5.01, 5.02, 5.03, 5.04, 5.05
CSC 6 - Access Control Management - Controls 6.01, 6.02, 6.03, 6.04, 6.05, 6.08
CSC 10 - Malware Defenses - Controls 10.01, 10.02, 10.03, 10.05, 10.07</t>
  </si>
  <si>
    <t>CSC 3 - Data Protection - 3.14</t>
  </si>
  <si>
    <t>CSC 7 - Continuous Vulnerability Management - All controls
CSC 10 - Malware Defenses - Controls 10.01, 10.02, 10.03, 10.05, 10.07
CSC 14 - Security Awareness and Skills Training - Controls 14.01, 14.02, 14.03, 14.04, 14.06, 14.09</t>
  </si>
  <si>
    <t>CSC 5 - Account Management - Controls 5.01, 5.02, 5.03, 5.04, 5.05
CSC 6 - Access Control Management - Controls 6.01, 6.02, 6.03, 6.04, 6.05, 6.08
CSC 7 - Continuous Vulnerability Management - All controls
CSC 8 - Audit Log Management - Controls 8.01, 8.02, 8.03, 8.09, 8.10
CSC 14 - Security Awareness and Skills Training - Controls 14.01, 14.02, 14.03, 14.04, 14.06, 14.09</t>
  </si>
  <si>
    <t xml:space="preserve">CSC 7 - Continuous Vulnerability Management - All controls
CSC 8 - Audit Log Management - Controls 8.01, 8.02, 8.03, 8.09, 8.10
CSC 14 - Security Awareness and Skills Training - Controls 14.01, 14.02, 14.03, 14.04, 14.06, 14.09
</t>
  </si>
  <si>
    <t>CSC 11 - Data Recovery - Controls 11.01, 11.02, 11.02, 11.04, 11.05
CSC 14 - Security Awareness and Skills Training - Controls 14.01, 14.02, 14.03, 14.04, 14.06, 14.09</t>
  </si>
  <si>
    <t>Insider and Privilege Misuse</t>
  </si>
  <si>
    <t>CSC 10 - Malware Defenses - Controls 10.01, 10.02, 10.03, 10.05, 10.07
CSC 12 - Network Infrastructure Management - Controls - 12.02, 12.07, 12.08</t>
  </si>
  <si>
    <t xml:space="preserve">CSC 5 - Account Management - Controls 5.01, 5.02, 5.03, 5.04, 5.05
CSC 6 - Access Control Management - Controls 6.01, 6.02, 6.03, 6.04, 6.05, 6.08
CSC 7 - Continuous Vulnerability Management - All controls
CSC 12 - Network Infrastructure Management - Controls - 12.02, 12.07, 12.08
</t>
  </si>
  <si>
    <t xml:space="preserve">CSC 6 - Access Control Management - Controls 6.01, 6.02, 6.03, 6.04, 6.05, 6.08
CSC 10 - Malware Defenses - Controls 10.01, 10.02, 10.03, 10.05, 10.07
CSC 12 - Network Infrastructure Management - Controls - 12.02, 12.07, 12.08
</t>
  </si>
  <si>
    <t>CSC 5 - Account Management - Controls 5.01, 5.02, 5.03, 5.04, 5.05
CSC 10 - Malware Defenses - Controls 10.01, 10.02, 10.03, 10.05, 10.07</t>
  </si>
  <si>
    <t>CSC 7 - Continuous Vulnerability Management - All controls
CSC 8 - Audit Log Management - Controls 8.01, 8.02, 8.03, 8.09, 8.10
CSC 10 - Malware Defenses - Controls 10.01, 10.02, 10.03, 10.05, 10.07
CSC 12 - Network Infrastructure Management - Controls - 12.02, 12.07, 12.08</t>
  </si>
  <si>
    <t>CSC 5 - Account Management - Controls 5.01, 5.02, 5.03, 5.04, 5.05
CSC 12 - Network Infrastructure Management - Controls - 12.02, 12.07, 12.08
CSC 14 - Security Awareness and Skills Training - Controls 14.01, 14.02, 14.03, 14.04, 14.05, 14.06, 14.09</t>
  </si>
  <si>
    <t>CSC 7 - Continuous Vulnerability Management - All controls
CSC 10 - Malware Defenses - Controls 10.01, 10.02, 10.03, 10.05, 10.07
CSC 14 - Security Awareness and Skills Training - Controls 14.01, 14.02, 14.03, 14.04, 14.05, 14.06, 14.09</t>
  </si>
  <si>
    <t>CSC 5 - Account Management - Controls 5.01, 5.02, 5.03, 5.04, 5.05
CSC 6 - Access Control Management - Controls 6.01, 6.02, 6.03, 6.04, 6.05, 6.08
CSC 7 - Continuous Vulnerability Management - All controls
CSC 8 - Audit Log Management - Controls 8.01, 8.02, 8.03, 8.09, 8.10
CSC 14 - Security Awareness and Skills Training - Controls 14.01, 14.02, 14.03, 14.04, 14.05, 14.06, 14.09</t>
  </si>
  <si>
    <t>CSC 7 - Continuous Vulnerability Management - All controls
CSC 8 - Audit Log Management - Controls 8.01, 8.02, 8.03, 8.09, 8.10
CSC 14 - Security Awareness and Skills Training - Controls 14.01, 14.02, 14.03, 14.04, 14.05, 14.06, 14.09</t>
  </si>
  <si>
    <t>CSC 14 - Security Awareness and Skills Training - Controls 14.01, 14.02, 14.03, 14.04, 14.05, 14.06, 14.09</t>
  </si>
  <si>
    <t>CSC- 11 - Data Recovery - Controls 11.01, 11.02, 11.03, 11.04, 11.05
CSC 14 - Security Awareness and Skills Training - Controls 14.01, 14.02, 14.03, 14.04, 14.06, 14.09</t>
  </si>
  <si>
    <t>Targeted Instrusion</t>
  </si>
  <si>
    <t>CSC 14- Security Awareness and Skills Training - Controls 14.10
CSC 18 - Penetration Testing - Controls 18.01, 18.02, 18.05</t>
  </si>
  <si>
    <t xml:space="preserve">CSC 4 - Secure Configuration of Enterprise Assets and Software - Controls 4.01, 4.02, 4.04, 4.05, 4.07, 4.08, 4.09. 4.10
CSC 7 - Continuous Vulnerability Management - All controls
CSC 9 - Email and Web Browser Protections - Controls 9.02, 9.03, 9.06, 9.07
CSC 13 - Network Monitoring and Defense - Controls 13.02,13.03,13.04, 13.05, 13.07, 13.08, 13.10
CSC 16 - Application Software Security - Controls 16.01, 16.02, 16.03, 16.04, 16.05, 16.08, 16.09, 16.10, 16.11, 16.12 16.13
CSC 18 - Penetration Testing - Controls 18.03
</t>
  </si>
  <si>
    <t xml:space="preserve">CSC 9 - Email and Web Browser Protections - Controls 9.03, 9.05, 9.06, 9.07
CSC 10 - Malware Defenses - Controls 10.01, 10.02, 10.05, 10.07
</t>
  </si>
  <si>
    <t>CSC 3 - Data Protection - Controls 3.10
CSC 4 - Secure Configuration of Enterprise Assets and Software - Controls 4.03, 4.04, 4.07
CSC 10 - Malware Defenses - Controls 10.01, 10.02, 10.03, 10.05, 10.07
CSC 12 - Network Infrastructure Management - Controls 12.01, 12.02, 12.07, 12.08</t>
  </si>
  <si>
    <t>CSC 4 - Secure Configuration of Enterprise Assets and Software - Controls 4.01, 4.02, 4.04, 4.05, 4.07, 4.08, 4.09. 4.10
CSC 6 - Access Control Management - Controls 6.01, 6.02, 6.03, 6.04, 6.05, 6.08</t>
  </si>
  <si>
    <t>CSC 7 - Continuous Vulnerability Management - All controls
CSC 8 - Audit Log Management - Controls 8.01, 8.02, 8.03, 8.05, 8.09, 8.10, 8.11, 8.12
CSC 10 - Malware Defenses - Controls 10.01, 10.02, 10.03, 10.05, 10.07
CSC 12 - Network Infrastructure Management - Controls 12.01, 12.02, 12.07, 12.08</t>
  </si>
  <si>
    <t>CSC 8 - Audit Log Management - Controls 8.01, 8.02, 8.03, 8.05, 8.09, 8.10, 8.11</t>
  </si>
  <si>
    <t>CSC 4 - Secure Configuration of Enterprise Assets and Software - Controls 4.02
CSC 5 - Account Management - Controls 5.01, 5.02, 5.03, 5.04, 5.05
CSC 6 - Access Control Management - Controls 6.01, 6.02, 6.03, 6.04, 6.05, 6.08
CSC 10 - Malware Defenses - Controls 10.01, 10.02, 10.03, 10.05, 10.07</t>
  </si>
  <si>
    <t>CSC 5 - Account Management - Controls 5.01, 5.02, 5.03, 5.04, 5.05
CSC 6 - Access Control Management - Controls 6.01, 6.02, 6.03, 6.04, 6.05, 6.08
CSC 7 - Continuous Vulnerability Management - All controls
CSC 8 - Audit Log Management - Controls 8.01, 8.02, 8.03, 8.05, 8.09, 8.10, 8.11
CSC 14 - Security Awareness and Skills Training - Controls 14.01, 14.02, 14.03, 14.04, 14.06, 14.09</t>
  </si>
  <si>
    <t>CSC 7 - Continuous Vulnerability Management - All controls
CSC 8 - Audit Log Management - Controls 8.01, 8.02, 8.03, 8.05, 8.09, 8.10, 8.11
CSC 14 - Security Awareness and Skills Training - Controls 14.01, 14.02, 14.03, 14.04, 14.06, 14.09</t>
  </si>
  <si>
    <t>CSC 11 - Data Recovery - Controls 11.01, 11.02, 11.02, 11.04, 11.05</t>
  </si>
  <si>
    <t>Average of Impact to Mission</t>
  </si>
  <si>
    <t>Average of Impact to Objectives</t>
  </si>
  <si>
    <t>Average of Impact to Obligations</t>
  </si>
  <si>
    <t>(All)</t>
  </si>
  <si>
    <t>This table represents the average of all UNACCEPTABLE risks at each stage of the attack.  If the value is 0, there were no unacceptable risks identified.</t>
  </si>
  <si>
    <t>-</t>
  </si>
  <si>
    <t>There are no controls mapped to this attack stage.</t>
  </si>
  <si>
    <t>Push out Registry changes. Admin Console for Chrome. Remove Chrome. Risk is capturing activity from malicious extensions.</t>
  </si>
  <si>
    <t>Google Admin Center, Internal</t>
  </si>
  <si>
    <t>Veronis, Purview, Internal</t>
  </si>
  <si>
    <t>Intune, SCCM</t>
  </si>
  <si>
    <t>Qualys, Artic Wolf</t>
  </si>
  <si>
    <t xml:space="preserve">Proofpoint </t>
  </si>
  <si>
    <t>Build/Design Documentation, Internal</t>
  </si>
  <si>
    <t>SCCM</t>
  </si>
  <si>
    <t>SAST/DAST Solutions, OWASP Tools (https://owasp.org/www-community/Source_Code_Analysis_Tools)</t>
  </si>
  <si>
    <t>GitHub Advanced Security</t>
  </si>
  <si>
    <t>Internal</t>
  </si>
  <si>
    <t>Panorays</t>
  </si>
  <si>
    <t>Security Innovation</t>
  </si>
  <si>
    <t>CIS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</si>
</sst>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
  </numFmts>
  <fonts count="63" x14ac:knownFonts="1">
    <font>
      <sz val="11"/>
      <color theme="1"/>
      <name val="Calibri"/>
      <family val="2"/>
      <scheme val="minor"/>
    </font>
    <font>
      <sz val="8"/>
      <name val="Verdana"/>
      <family val="2"/>
    </font>
    <font>
      <sz val="16"/>
      <name val="Calibri"/>
      <family val="2"/>
    </font>
    <font>
      <b/>
      <sz val="11"/>
      <color theme="0"/>
      <name val="Calibri"/>
      <family val="2"/>
      <scheme val="minor"/>
    </font>
    <font>
      <b/>
      <sz val="11"/>
      <color theme="1"/>
      <name val="Calibri"/>
      <family val="2"/>
      <scheme val="minor"/>
    </font>
    <font>
      <sz val="12"/>
      <color theme="1"/>
      <name val="Calibri"/>
      <family val="2"/>
      <scheme val="minor"/>
    </font>
    <font>
      <sz val="11"/>
      <color theme="1"/>
      <name val="Calibri"/>
      <family val="2"/>
      <scheme val="minor"/>
    </font>
    <font>
      <b/>
      <sz val="12"/>
      <name val="Calibri"/>
      <family val="2"/>
      <scheme val="minor"/>
    </font>
    <font>
      <sz val="12"/>
      <name val="Calibri"/>
      <family val="2"/>
      <scheme val="minor"/>
    </font>
    <font>
      <sz val="12"/>
      <color indexed="8"/>
      <name val="Calibri"/>
      <family val="2"/>
      <scheme val="minor"/>
    </font>
    <font>
      <b/>
      <sz val="12"/>
      <color indexed="8"/>
      <name val="Calibri"/>
      <family val="2"/>
      <scheme val="minor"/>
    </font>
    <font>
      <b/>
      <sz val="12"/>
      <color theme="0"/>
      <name val="Calibri"/>
      <family val="2"/>
      <scheme val="minor"/>
    </font>
    <font>
      <b/>
      <sz val="9"/>
      <color theme="1"/>
      <name val="Calibri"/>
      <family val="2"/>
      <scheme val="minor"/>
    </font>
    <font>
      <i/>
      <sz val="9"/>
      <color theme="1"/>
      <name val="Calibri"/>
      <family val="2"/>
      <scheme val="minor"/>
    </font>
    <font>
      <b/>
      <sz val="11"/>
      <color rgb="FFFFFFFF"/>
      <name val="Calibri"/>
      <family val="2"/>
      <scheme val="minor"/>
    </font>
    <font>
      <sz val="10"/>
      <name val="Arial"/>
      <family val="2"/>
    </font>
    <font>
      <b/>
      <sz val="12"/>
      <color theme="1"/>
      <name val="Calibri"/>
      <family val="2"/>
      <scheme val="minor"/>
    </font>
    <font>
      <sz val="16"/>
      <name val="Calibri"/>
      <family val="2"/>
      <scheme val="minor"/>
    </font>
    <font>
      <sz val="11"/>
      <name val="Calibri"/>
      <family val="2"/>
      <scheme val="minor"/>
    </font>
    <font>
      <sz val="10"/>
      <color theme="1"/>
      <name val="Calibri"/>
      <family val="2"/>
      <scheme val="minor"/>
    </font>
    <font>
      <sz val="9"/>
      <color theme="1"/>
      <name val="Calibri"/>
      <family val="2"/>
      <scheme val="minor"/>
    </font>
    <font>
      <b/>
      <sz val="9"/>
      <name val="Arial"/>
      <family val="2"/>
    </font>
    <font>
      <sz val="9"/>
      <color rgb="FF1C2B39"/>
      <name val="Arial"/>
      <family val="2"/>
    </font>
    <font>
      <b/>
      <sz val="9"/>
      <color rgb="FF1C2B39"/>
      <name val="Arial"/>
      <family val="2"/>
    </font>
    <font>
      <sz val="12"/>
      <color rgb="FF0070C0"/>
      <name val="Calibri"/>
      <family val="2"/>
      <scheme val="minor"/>
    </font>
    <font>
      <i/>
      <sz val="11"/>
      <color theme="1"/>
      <name val="Calibri"/>
      <family val="2"/>
      <scheme val="minor"/>
    </font>
    <font>
      <u/>
      <sz val="11"/>
      <color theme="10"/>
      <name val="Calibri"/>
      <family val="2"/>
      <scheme val="minor"/>
    </font>
    <font>
      <b/>
      <sz val="10"/>
      <color rgb="FFFFFFFF"/>
      <name val="Calibri"/>
      <family val="2"/>
      <scheme val="minor"/>
    </font>
    <font>
      <b/>
      <sz val="10"/>
      <color rgb="FF000000"/>
      <name val="Calibri"/>
      <family val="2"/>
      <scheme val="minor"/>
    </font>
    <font>
      <u/>
      <sz val="10"/>
      <color theme="1"/>
      <name val="Calibri"/>
      <family val="2"/>
      <scheme val="minor"/>
    </font>
    <font>
      <vertAlign val="superscript"/>
      <sz val="10"/>
      <color theme="1"/>
      <name val="Calibri"/>
      <family val="2"/>
      <scheme val="minor"/>
    </font>
    <font>
      <sz val="11"/>
      <color theme="0"/>
      <name val="Calibri"/>
      <family val="2"/>
      <scheme val="minor"/>
    </font>
    <font>
      <sz val="10"/>
      <name val="Calibri"/>
      <family val="2"/>
      <scheme val="minor"/>
    </font>
    <font>
      <b/>
      <sz val="14"/>
      <color theme="1"/>
      <name val="Calibri"/>
      <family val="2"/>
      <scheme val="minor"/>
    </font>
    <font>
      <sz val="14"/>
      <color theme="1"/>
      <name val="Calibri"/>
      <family val="2"/>
      <scheme val="minor"/>
    </font>
    <font>
      <sz val="16"/>
      <color theme="1"/>
      <name val="Calibri"/>
      <family val="2"/>
      <scheme val="minor"/>
    </font>
    <font>
      <b/>
      <sz val="16"/>
      <color theme="0"/>
      <name val="Calibri"/>
      <family val="2"/>
      <scheme val="minor"/>
    </font>
    <font>
      <sz val="14"/>
      <name val="Calibri"/>
      <family val="2"/>
      <scheme val="minor"/>
    </font>
    <font>
      <sz val="14"/>
      <color theme="0"/>
      <name val="Calibri"/>
      <family val="2"/>
      <scheme val="minor"/>
    </font>
    <font>
      <b/>
      <sz val="14"/>
      <color theme="0"/>
      <name val="Calibri"/>
      <family val="2"/>
      <scheme val="minor"/>
    </font>
    <font>
      <sz val="8"/>
      <color theme="1"/>
      <name val="Calibri"/>
      <family val="2"/>
      <scheme val="minor"/>
    </font>
    <font>
      <sz val="48"/>
      <color theme="1"/>
      <name val="Calibri"/>
      <family val="2"/>
      <scheme val="minor"/>
    </font>
    <font>
      <b/>
      <sz val="40"/>
      <color theme="1"/>
      <name val="Calibri"/>
      <family val="2"/>
      <scheme val="minor"/>
    </font>
    <font>
      <sz val="48"/>
      <color rgb="FF0070C0"/>
      <name val="Calibri"/>
      <family val="2"/>
      <scheme val="minor"/>
    </font>
    <font>
      <b/>
      <sz val="48"/>
      <color theme="0"/>
      <name val="Calibri"/>
      <family val="2"/>
      <scheme val="minor"/>
    </font>
    <font>
      <sz val="48"/>
      <color rgb="FF7030A0"/>
      <name val="Calibri"/>
      <family val="2"/>
      <scheme val="minor"/>
    </font>
    <font>
      <sz val="11"/>
      <color rgb="FF7030A0"/>
      <name val="Calibri"/>
      <family val="2"/>
      <scheme val="minor"/>
    </font>
    <font>
      <sz val="12"/>
      <name val="Calibri"/>
      <family val="2"/>
      <scheme val="minor"/>
    </font>
    <font>
      <b/>
      <sz val="12"/>
      <name val="Calibri"/>
      <family val="2"/>
      <scheme val="minor"/>
    </font>
    <font>
      <sz val="12"/>
      <color theme="1"/>
      <name val="Calibri"/>
      <family val="2"/>
      <scheme val="minor"/>
    </font>
    <font>
      <sz val="12"/>
      <color rgb="FF0070C0"/>
      <name val="Calibri"/>
      <family val="2"/>
      <scheme val="minor"/>
    </font>
    <font>
      <b/>
      <sz val="12"/>
      <color rgb="FF0070C0"/>
      <name val="Calibri"/>
      <family val="2"/>
      <scheme val="minor"/>
    </font>
    <font>
      <b/>
      <sz val="12"/>
      <color theme="1"/>
      <name val="Calibri"/>
      <family val="2"/>
      <scheme val="minor"/>
    </font>
    <font>
      <b/>
      <sz val="12"/>
      <name val="Calibri"/>
      <family val="2"/>
      <scheme val="minor"/>
    </font>
    <font>
      <sz val="12"/>
      <color theme="1"/>
      <name val="Calibri"/>
      <family val="2"/>
      <scheme val="minor"/>
    </font>
    <font>
      <b/>
      <sz val="12"/>
      <color rgb="FF39B54A"/>
      <name val="Calibri"/>
      <family val="2"/>
      <scheme val="minor"/>
    </font>
    <font>
      <b/>
      <sz val="12"/>
      <color theme="1"/>
      <name val="Calibri"/>
      <family val="2"/>
    </font>
    <font>
      <sz val="10"/>
      <color theme="1"/>
      <name val="Calibri"/>
      <family val="2"/>
    </font>
    <font>
      <b/>
      <sz val="10"/>
      <color theme="1"/>
      <name val="Calibri"/>
      <family val="2"/>
    </font>
    <font>
      <b/>
      <sz val="10"/>
      <name val="Calibri"/>
      <family val="2"/>
    </font>
    <font>
      <b/>
      <sz val="10"/>
      <color theme="1"/>
      <name val="Calibri"/>
      <family val="2"/>
      <scheme val="minor"/>
    </font>
    <font>
      <sz val="11"/>
      <color rgb="FF9C0006"/>
      <name val="Calibri"/>
      <family val="2"/>
      <scheme val="minor"/>
    </font>
    <font>
      <b/>
      <sz val="11"/>
      <color rgb="FF7030A0"/>
      <name val="Calibri"/>
      <family val="2"/>
      <scheme val="minor"/>
    </font>
  </fonts>
  <fills count="47">
    <fill>
      <patternFill patternType="none"/>
    </fill>
    <fill>
      <patternFill patternType="gray125"/>
    </fill>
    <fill>
      <patternFill patternType="solid">
        <fgColor rgb="FF0070C0"/>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002060"/>
        <bgColor indexed="64"/>
      </patternFill>
    </fill>
    <fill>
      <patternFill patternType="solid">
        <fgColor rgb="FF4472C4"/>
        <bgColor indexed="64"/>
      </patternFill>
    </fill>
    <fill>
      <patternFill patternType="solid">
        <fgColor theme="4"/>
        <bgColor theme="4"/>
      </patternFill>
    </fill>
    <fill>
      <patternFill patternType="solid">
        <fgColor theme="7" tint="-0.249977111117893"/>
        <bgColor theme="4"/>
      </patternFill>
    </fill>
    <fill>
      <patternFill patternType="solid">
        <fgColor theme="7" tint="0.39997558519241921"/>
        <bgColor indexed="64"/>
      </patternFill>
    </fill>
    <fill>
      <patternFill patternType="solid">
        <fgColor theme="9" tint="-0.249977111117893"/>
        <bgColor indexed="64"/>
      </patternFill>
    </fill>
    <fill>
      <patternFill patternType="solid">
        <fgColor rgb="FF7030A0"/>
        <bgColor indexed="64"/>
      </patternFill>
    </fill>
    <fill>
      <patternFill patternType="solid">
        <fgColor theme="9"/>
        <bgColor indexed="64"/>
      </patternFill>
    </fill>
    <fill>
      <patternFill patternType="solid">
        <fgColor theme="1"/>
        <bgColor indexed="64"/>
      </patternFill>
    </fill>
    <fill>
      <patternFill patternType="solid">
        <fgColor rgb="FFFFFF66"/>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bgColor indexed="64"/>
      </patternFill>
    </fill>
    <fill>
      <patternFill patternType="solid">
        <fgColor rgb="FFD9D9D9"/>
        <bgColor indexed="64"/>
      </patternFill>
    </fill>
    <fill>
      <patternFill patternType="solid">
        <fgColor rgb="FFFFFF99"/>
        <bgColor indexed="64"/>
      </patternFill>
    </fill>
    <fill>
      <patternFill patternType="solid">
        <fgColor rgb="FF2F5496"/>
        <bgColor indexed="64"/>
      </patternFill>
    </fill>
    <fill>
      <patternFill patternType="solid">
        <fgColor rgb="FFFFFFFF"/>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rgb="FFFFFF00"/>
        <bgColor indexed="64"/>
      </patternFill>
    </fill>
    <fill>
      <patternFill patternType="solid">
        <fgColor theme="4" tint="0.39997558519241921"/>
        <bgColor indexed="65"/>
      </patternFill>
    </fill>
    <fill>
      <patternFill patternType="solid">
        <fgColor theme="4" tint="0.39997558519241921"/>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patternFill>
    </fill>
    <fill>
      <patternFill patternType="solid">
        <fgColor rgb="FF0086BF"/>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0000"/>
        <bgColor indexed="64"/>
      </patternFill>
    </fill>
    <fill>
      <patternFill patternType="solid">
        <fgColor rgb="FF00B050"/>
        <bgColor indexed="64"/>
      </patternFill>
    </fill>
    <fill>
      <patternFill patternType="solid">
        <fgColor rgb="FFFFC7CE"/>
      </patternFill>
    </fill>
    <fill>
      <patternFill patternType="solid">
        <fgColor theme="7"/>
      </patternFill>
    </fill>
    <fill>
      <patternFill patternType="solid">
        <fgColor theme="8"/>
      </patternFill>
    </fill>
    <fill>
      <patternFill patternType="solid">
        <fgColor theme="5" tint="-0.249977111117893"/>
        <bgColor theme="4"/>
      </patternFill>
    </fill>
    <fill>
      <patternFill patternType="solid">
        <fgColor theme="2" tint="-0.499984740745262"/>
        <bgColor theme="4"/>
      </patternFill>
    </fill>
    <fill>
      <patternFill patternType="solid">
        <fgColor theme="2" tint="-0.749992370372631"/>
        <bgColor theme="4"/>
      </patternFill>
    </fill>
    <fill>
      <patternFill patternType="solid">
        <fgColor theme="2" tint="-0.89999084444715716"/>
        <bgColor theme="4"/>
      </patternFill>
    </fill>
    <fill>
      <patternFill patternType="solid">
        <fgColor theme="9" tint="0.39997558519241921"/>
        <bgColor indexed="64"/>
      </patternFill>
    </fill>
  </fills>
  <borders count="62">
    <border>
      <left/>
      <right/>
      <top/>
      <bottom/>
      <diagonal/>
    </border>
    <border>
      <left style="thin">
        <color indexed="64"/>
      </left>
      <right style="thin">
        <color indexed="64"/>
      </right>
      <top style="thin">
        <color indexed="64"/>
      </top>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right/>
      <top/>
      <bottom style="medium">
        <color rgb="FFFFFFFF"/>
      </bottom>
      <diagonal/>
    </border>
    <border>
      <left style="medium">
        <color theme="9" tint="-0.249977111117893"/>
      </left>
      <right/>
      <top/>
      <bottom/>
      <diagonal/>
    </border>
    <border>
      <left/>
      <right style="medium">
        <color theme="9" tint="-0.249977111117893"/>
      </right>
      <top/>
      <bottom/>
      <diagonal/>
    </border>
    <border>
      <left style="medium">
        <color rgb="FFFFFFFF"/>
      </left>
      <right/>
      <top/>
      <bottom style="medium">
        <color rgb="FFFFFFFF"/>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auto="1"/>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theme="0"/>
      </top>
      <bottom/>
      <diagonal/>
    </border>
    <border>
      <left/>
      <right/>
      <top style="thick">
        <color theme="0"/>
      </top>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theme="0"/>
      </top>
      <bottom style="thin">
        <color theme="0"/>
      </bottom>
      <diagonal/>
    </border>
    <border>
      <left/>
      <right/>
      <top/>
      <bottom style="thick">
        <color theme="0"/>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style="thin">
        <color indexed="64"/>
      </right>
      <top/>
      <bottom/>
      <diagonal/>
    </border>
    <border>
      <left/>
      <right/>
      <top style="thin">
        <color theme="4" tint="0.39997558519241921"/>
      </top>
      <bottom style="thin">
        <color theme="4" tint="0.39997558519241921"/>
      </bottom>
      <diagonal/>
    </border>
    <border>
      <left/>
      <right/>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rgb="FF000000"/>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style="thin">
        <color rgb="FF999999"/>
      </top>
      <bottom style="thin">
        <color rgb="FF999999"/>
      </bottom>
      <diagonal/>
    </border>
    <border>
      <left/>
      <right style="thin">
        <color rgb="FF999999"/>
      </right>
      <top style="thin">
        <color rgb="FF999999"/>
      </top>
      <bottom/>
      <diagonal/>
    </border>
    <border>
      <left/>
      <right style="thin">
        <color rgb="FF999999"/>
      </right>
      <top style="thin">
        <color indexed="65"/>
      </top>
      <bottom/>
      <diagonal/>
    </border>
    <border>
      <left/>
      <right style="thin">
        <color rgb="FF999999"/>
      </right>
      <top style="thin">
        <color rgb="FF999999"/>
      </top>
      <bottom style="thin">
        <color rgb="FF999999"/>
      </bottom>
      <diagonal/>
    </border>
    <border>
      <left/>
      <right/>
      <top style="thin">
        <color rgb="FF999999"/>
      </top>
      <bottom/>
      <diagonal/>
    </border>
    <border>
      <left/>
      <right/>
      <top style="thin">
        <color indexed="65"/>
      </top>
      <bottom/>
      <diagonal/>
    </border>
    <border>
      <left/>
      <right/>
      <top style="thin">
        <color rgb="FF999999"/>
      </top>
      <bottom style="thin">
        <color rgb="FF999999"/>
      </bottom>
      <diagonal/>
    </border>
  </borders>
  <cellStyleXfs count="12">
    <xf numFmtId="0" fontId="0" fillId="0" borderId="0"/>
    <xf numFmtId="9" fontId="6" fillId="0" borderId="0" applyFont="0" applyFill="0" applyBorder="0" applyAlignment="0" applyProtection="0"/>
    <xf numFmtId="0" fontId="15" fillId="0" borderId="0"/>
    <xf numFmtId="43" fontId="6" fillId="0" borderId="0" applyFont="0" applyFill="0" applyBorder="0" applyAlignment="0" applyProtection="0"/>
    <xf numFmtId="0" fontId="26" fillId="0" borderId="0" applyNumberFormat="0" applyFill="0" applyBorder="0" applyAlignment="0" applyProtection="0"/>
    <xf numFmtId="0" fontId="6" fillId="25" borderId="0" applyNumberFormat="0" applyBorder="0" applyAlignment="0" applyProtection="0"/>
    <xf numFmtId="0" fontId="31" fillId="33" borderId="0" applyNumberFormat="0" applyBorder="0" applyAlignment="0" applyProtection="0"/>
    <xf numFmtId="44" fontId="6" fillId="0" borderId="0" applyFont="0" applyFill="0" applyBorder="0" applyAlignment="0" applyProtection="0"/>
    <xf numFmtId="0" fontId="5" fillId="0" borderId="0"/>
    <xf numFmtId="0" fontId="6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cellStyleXfs>
  <cellXfs count="358">
    <xf numFmtId="0" fontId="0" fillId="0" borderId="0" xfId="0"/>
    <xf numFmtId="0" fontId="8" fillId="3"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11" fillId="2" borderId="0" xfId="0" applyFont="1" applyFill="1" applyAlignment="1">
      <alignment horizontal="center" vertical="center" wrapText="1"/>
    </xf>
    <xf numFmtId="0" fontId="10" fillId="4" borderId="0" xfId="0" applyFont="1" applyFill="1" applyAlignment="1">
      <alignment horizontal="center" vertical="center" wrapText="1"/>
    </xf>
    <xf numFmtId="0" fontId="14" fillId="5" borderId="2"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0" fillId="0" borderId="0" xfId="0" applyAlignment="1">
      <alignment horizontal="left" vertical="center" wrapText="1"/>
    </xf>
    <xf numFmtId="0" fontId="5" fillId="3" borderId="1" xfId="0" applyFont="1" applyFill="1" applyBorder="1" applyAlignment="1">
      <alignment horizontal="left" vertical="top" wrapText="1"/>
    </xf>
    <xf numFmtId="0" fontId="7" fillId="3" borderId="1" xfId="0" applyFont="1" applyFill="1" applyBorder="1" applyAlignment="1">
      <alignment horizontal="left" vertical="top" wrapText="1"/>
    </xf>
    <xf numFmtId="0" fontId="11" fillId="9" borderId="0" xfId="0" applyFont="1" applyFill="1" applyAlignment="1">
      <alignment horizontal="center" vertical="center" wrapText="1"/>
    </xf>
    <xf numFmtId="0" fontId="11" fillId="10" borderId="0" xfId="0" applyFont="1" applyFill="1" applyAlignment="1">
      <alignment horizontal="center" vertical="center" wrapText="1"/>
    </xf>
    <xf numFmtId="0" fontId="11" fillId="11" borderId="0" xfId="0" applyFont="1" applyFill="1" applyAlignment="1">
      <alignment horizontal="center" vertical="center" wrapText="1"/>
    </xf>
    <xf numFmtId="0" fontId="11" fillId="12" borderId="0" xfId="0" applyFont="1" applyFill="1" applyAlignment="1">
      <alignment horizontal="center" vertical="center" wrapText="1"/>
    </xf>
    <xf numFmtId="0" fontId="0" fillId="0" borderId="0" xfId="0" pivotButton="1"/>
    <xf numFmtId="0" fontId="0" fillId="0" borderId="0" xfId="0" applyAlignment="1">
      <alignment horizontal="left"/>
    </xf>
    <xf numFmtId="2" fontId="0" fillId="0" borderId="0" xfId="0" applyNumberFormat="1"/>
    <xf numFmtId="0" fontId="8" fillId="0" borderId="0" xfId="0" applyFont="1" applyAlignment="1">
      <alignment horizontal="left" vertical="center" wrapText="1"/>
    </xf>
    <xf numFmtId="0" fontId="16" fillId="3" borderId="1" xfId="0" applyFont="1" applyFill="1" applyBorder="1" applyAlignment="1">
      <alignment horizontal="left" vertical="top" wrapText="1"/>
    </xf>
    <xf numFmtId="0" fontId="2" fillId="0" borderId="0" xfId="0" applyFont="1" applyAlignment="1">
      <alignment horizontal="center" vertical="top"/>
    </xf>
    <xf numFmtId="0" fontId="17" fillId="0" borderId="0" xfId="0" applyFont="1" applyAlignment="1">
      <alignment vertical="top" wrapText="1"/>
    </xf>
    <xf numFmtId="0" fontId="17" fillId="0" borderId="0" xfId="0" applyFont="1" applyAlignment="1">
      <alignment horizontal="left" vertical="center" wrapText="1"/>
    </xf>
    <xf numFmtId="0" fontId="17" fillId="0" borderId="0" xfId="0" applyFont="1" applyAlignment="1">
      <alignment horizontal="left" vertical="center"/>
    </xf>
    <xf numFmtId="0" fontId="17" fillId="0" borderId="0" xfId="0" applyFont="1"/>
    <xf numFmtId="0" fontId="17" fillId="0" borderId="0" xfId="0" applyFont="1" applyAlignment="1">
      <alignment horizontal="center" wrapText="1"/>
    </xf>
    <xf numFmtId="0" fontId="17" fillId="0" borderId="0" xfId="0" applyFont="1" applyAlignment="1">
      <alignment horizontal="left" wrapText="1"/>
    </xf>
    <xf numFmtId="0" fontId="8" fillId="0" borderId="0" xfId="0" applyFont="1" applyAlignment="1">
      <alignment horizontal="left" vertical="center"/>
    </xf>
    <xf numFmtId="0" fontId="0" fillId="0" borderId="0" xfId="0" applyAlignment="1">
      <alignment horizontal="center" vertical="center" wrapText="1"/>
    </xf>
    <xf numFmtId="0" fontId="11" fillId="13" borderId="0" xfId="0" applyFont="1" applyFill="1" applyAlignment="1">
      <alignment horizontal="center" vertical="center" wrapText="1"/>
    </xf>
    <xf numFmtId="14" fontId="0" fillId="0" borderId="0" xfId="0" applyNumberFormat="1" applyAlignment="1">
      <alignment horizontal="left" vertical="center" wrapText="1"/>
    </xf>
    <xf numFmtId="0" fontId="0" fillId="14" borderId="6" xfId="0" applyFill="1" applyBorder="1" applyAlignment="1">
      <alignment horizontal="center" vertical="center" wrapText="1"/>
    </xf>
    <xf numFmtId="0" fontId="18" fillId="0" borderId="0" xfId="0" applyFont="1" applyAlignment="1">
      <alignment horizontal="left" vertical="center" wrapText="1"/>
    </xf>
    <xf numFmtId="0" fontId="4" fillId="0" borderId="0" xfId="0" applyFont="1"/>
    <xf numFmtId="9" fontId="0" fillId="0" borderId="0" xfId="0" applyNumberFormat="1"/>
    <xf numFmtId="0" fontId="0" fillId="0" borderId="0" xfId="0" applyAlignment="1">
      <alignment wrapText="1"/>
    </xf>
    <xf numFmtId="0" fontId="0" fillId="0" borderId="0" xfId="0" applyAlignment="1">
      <alignment horizontal="center" wrapText="1"/>
    </xf>
    <xf numFmtId="0" fontId="3" fillId="7" borderId="0" xfId="0" applyFont="1" applyFill="1" applyAlignment="1">
      <alignment horizontal="left" vertical="center" wrapText="1"/>
    </xf>
    <xf numFmtId="0" fontId="3" fillId="8" borderId="0" xfId="0" applyFont="1" applyFill="1" applyAlignment="1">
      <alignment horizontal="left" vertical="center" wrapText="1"/>
    </xf>
    <xf numFmtId="14" fontId="0" fillId="0" borderId="0" xfId="0" applyNumberFormat="1"/>
    <xf numFmtId="0" fontId="20" fillId="0" borderId="0" xfId="0" applyFont="1"/>
    <xf numFmtId="0" fontId="20" fillId="0" borderId="0" xfId="0" applyFont="1" applyAlignment="1">
      <alignment horizontal="left" vertical="center" wrapText="1"/>
    </xf>
    <xf numFmtId="0" fontId="13" fillId="0" borderId="0" xfId="0" applyFont="1" applyAlignment="1">
      <alignment horizontal="left"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12" fillId="0" borderId="0" xfId="0" applyFont="1" applyAlignment="1">
      <alignment horizontal="left" vertical="center" wrapText="1"/>
    </xf>
    <xf numFmtId="0" fontId="3" fillId="17" borderId="11" xfId="0" applyFont="1" applyFill="1" applyBorder="1" applyAlignment="1">
      <alignment horizontal="center" vertical="center" wrapText="1"/>
    </xf>
    <xf numFmtId="0" fontId="12" fillId="0" borderId="11" xfId="0" applyFont="1" applyBorder="1" applyAlignment="1">
      <alignment horizontal="left" vertical="center"/>
    </xf>
    <xf numFmtId="0" fontId="21" fillId="0" borderId="13" xfId="0" applyFont="1" applyBorder="1" applyAlignment="1">
      <alignment horizontal="center" vertical="center" wrapText="1"/>
    </xf>
    <xf numFmtId="0" fontId="21" fillId="0" borderId="15"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5" xfId="0" applyFont="1" applyBorder="1" applyAlignment="1">
      <alignment horizontal="center" vertical="center" wrapText="1"/>
    </xf>
    <xf numFmtId="0" fontId="23" fillId="18" borderId="15" xfId="0" applyFont="1" applyFill="1" applyBorder="1" applyAlignment="1">
      <alignment horizontal="center" vertical="center" wrapText="1"/>
    </xf>
    <xf numFmtId="1" fontId="0" fillId="0" borderId="0" xfId="0" applyNumberFormat="1"/>
    <xf numFmtId="0" fontId="21" fillId="0" borderId="12" xfId="0" applyFont="1" applyBorder="1" applyAlignment="1">
      <alignment horizontal="center" vertical="center" wrapText="1"/>
    </xf>
    <xf numFmtId="0" fontId="21" fillId="0" borderId="14" xfId="0" applyFont="1" applyBorder="1" applyAlignment="1">
      <alignment horizontal="center" vertical="center" wrapText="1"/>
    </xf>
    <xf numFmtId="43" fontId="0" fillId="0" borderId="0" xfId="3" applyFont="1"/>
    <xf numFmtId="0" fontId="20" fillId="0" borderId="0" xfId="0" applyFont="1" applyAlignment="1">
      <alignment horizontal="center" vertical="center" wrapText="1"/>
    </xf>
    <xf numFmtId="0" fontId="20" fillId="0" borderId="0" xfId="0" applyFont="1" applyAlignment="1">
      <alignment horizontal="center" vertical="center"/>
    </xf>
    <xf numFmtId="164" fontId="0" fillId="0" borderId="0" xfId="3" applyNumberFormat="1" applyFont="1"/>
    <xf numFmtId="0" fontId="0" fillId="19" borderId="0" xfId="0" applyFill="1"/>
    <xf numFmtId="14" fontId="0" fillId="19" borderId="0" xfId="0" applyNumberFormat="1" applyFill="1" applyAlignment="1">
      <alignment horizontal="right"/>
    </xf>
    <xf numFmtId="0" fontId="19" fillId="0" borderId="11" xfId="0" applyFont="1" applyBorder="1" applyAlignment="1">
      <alignment horizontal="center" vertical="center" wrapText="1"/>
    </xf>
    <xf numFmtId="0" fontId="28" fillId="21" borderId="21" xfId="0" applyFont="1" applyFill="1" applyBorder="1" applyAlignment="1">
      <alignment vertical="center" wrapText="1"/>
    </xf>
    <xf numFmtId="0" fontId="19" fillId="0" borderId="19" xfId="0" applyFont="1" applyBorder="1" applyAlignment="1">
      <alignment vertical="center" wrapText="1"/>
    </xf>
    <xf numFmtId="0" fontId="26" fillId="0" borderId="19" xfId="4" applyBorder="1" applyAlignment="1">
      <alignment vertical="center" wrapText="1"/>
    </xf>
    <xf numFmtId="0" fontId="27" fillId="20" borderId="29" xfId="0" applyFont="1" applyFill="1" applyBorder="1" applyAlignment="1">
      <alignment vertical="center" wrapText="1"/>
    </xf>
    <xf numFmtId="0" fontId="27" fillId="20" borderId="30" xfId="0" applyFont="1" applyFill="1" applyBorder="1" applyAlignment="1">
      <alignment horizontal="center" vertical="center" wrapText="1"/>
    </xf>
    <xf numFmtId="0" fontId="27" fillId="20" borderId="31" xfId="0" applyFont="1" applyFill="1" applyBorder="1" applyAlignment="1">
      <alignment horizontal="center" vertical="center" wrapText="1"/>
    </xf>
    <xf numFmtId="0" fontId="28" fillId="21" borderId="32" xfId="0" applyFont="1" applyFill="1" applyBorder="1" applyAlignment="1">
      <alignment vertical="center" wrapText="1"/>
    </xf>
    <xf numFmtId="0" fontId="19" fillId="0" borderId="1" xfId="0" applyFont="1" applyBorder="1" applyAlignment="1">
      <alignment horizontal="center" vertical="center" wrapText="1"/>
    </xf>
    <xf numFmtId="0" fontId="19" fillId="0" borderId="33" xfId="0" applyFont="1" applyBorder="1" applyAlignment="1">
      <alignment vertical="center" wrapText="1"/>
    </xf>
    <xf numFmtId="0" fontId="3" fillId="7" borderId="0" xfId="0" applyFont="1" applyFill="1"/>
    <xf numFmtId="0" fontId="0" fillId="23" borderId="34" xfId="0" applyFill="1" applyBorder="1"/>
    <xf numFmtId="0" fontId="0" fillId="22" borderId="34" xfId="0" applyFill="1" applyBorder="1"/>
    <xf numFmtId="0" fontId="0" fillId="23" borderId="35" xfId="0" applyFill="1" applyBorder="1"/>
    <xf numFmtId="0" fontId="5" fillId="0" borderId="0" xfId="0" applyFont="1" applyAlignment="1">
      <alignment horizontal="left" vertical="center" wrapText="1"/>
    </xf>
    <xf numFmtId="0" fontId="5" fillId="3" borderId="1" xfId="0" applyFont="1" applyFill="1" applyBorder="1" applyAlignment="1">
      <alignment horizontal="left" vertical="center" wrapText="1"/>
    </xf>
    <xf numFmtId="0" fontId="32" fillId="0" borderId="0" xfId="2" applyFont="1"/>
    <xf numFmtId="0" fontId="32" fillId="0" borderId="0" xfId="2" applyFont="1" applyAlignment="1">
      <alignment wrapText="1"/>
    </xf>
    <xf numFmtId="0" fontId="32" fillId="0" borderId="0" xfId="2" applyFont="1" applyAlignment="1">
      <alignment horizontal="left"/>
    </xf>
    <xf numFmtId="0" fontId="32" fillId="0" borderId="0" xfId="2" applyFont="1" applyAlignment="1">
      <alignment horizontal="center"/>
    </xf>
    <xf numFmtId="0" fontId="5" fillId="0" borderId="32" xfId="2" applyFont="1" applyBorder="1" applyAlignment="1">
      <alignment horizontal="left" vertical="center"/>
    </xf>
    <xf numFmtId="0" fontId="33" fillId="0" borderId="32" xfId="2" applyFont="1" applyBorder="1" applyAlignment="1">
      <alignment horizontal="center" vertical="center"/>
    </xf>
    <xf numFmtId="0" fontId="33" fillId="0" borderId="1" xfId="2" applyFont="1" applyBorder="1" applyAlignment="1">
      <alignment horizontal="center" vertical="center"/>
    </xf>
    <xf numFmtId="0" fontId="8" fillId="0" borderId="1" xfId="2" applyFont="1" applyBorder="1" applyAlignment="1">
      <alignment horizontal="center" vertical="center" wrapText="1"/>
    </xf>
    <xf numFmtId="0" fontId="34" fillId="0" borderId="32" xfId="2" applyFont="1" applyBorder="1" applyAlignment="1">
      <alignment horizontal="center" vertical="center"/>
    </xf>
    <xf numFmtId="0" fontId="33" fillId="0" borderId="21" xfId="2" applyFont="1" applyBorder="1" applyAlignment="1">
      <alignment horizontal="center" vertical="center"/>
    </xf>
    <xf numFmtId="0" fontId="8" fillId="0" borderId="11" xfId="2" applyFont="1" applyBorder="1" applyAlignment="1">
      <alignment horizontal="left" vertical="center" wrapText="1"/>
    </xf>
    <xf numFmtId="0" fontId="5" fillId="0" borderId="1" xfId="2" applyFont="1" applyBorder="1" applyAlignment="1">
      <alignment horizontal="left" vertical="center"/>
    </xf>
    <xf numFmtId="0" fontId="8" fillId="0" borderId="21" xfId="2" applyFont="1" applyBorder="1" applyAlignment="1">
      <alignment horizontal="center" vertical="center"/>
    </xf>
    <xf numFmtId="0" fontId="5" fillId="0" borderId="21" xfId="2" applyFont="1" applyBorder="1" applyAlignment="1">
      <alignment horizontal="left" vertical="center"/>
    </xf>
    <xf numFmtId="0" fontId="33" fillId="0" borderId="11" xfId="2" applyFont="1" applyBorder="1" applyAlignment="1">
      <alignment horizontal="center" vertical="center"/>
    </xf>
    <xf numFmtId="0" fontId="8" fillId="0" borderId="11" xfId="2" applyFont="1" applyBorder="1" applyAlignment="1">
      <alignment horizontal="center" vertical="center" wrapText="1"/>
    </xf>
    <xf numFmtId="0" fontId="34" fillId="0" borderId="21" xfId="2" applyFont="1" applyBorder="1" applyAlignment="1">
      <alignment horizontal="center" vertical="center"/>
    </xf>
    <xf numFmtId="0" fontId="5" fillId="0" borderId="11" xfId="2" applyFont="1" applyBorder="1" applyAlignment="1">
      <alignment horizontal="left" vertical="center"/>
    </xf>
    <xf numFmtId="0" fontId="6" fillId="0" borderId="0" xfId="0" applyFont="1"/>
    <xf numFmtId="0" fontId="35" fillId="25" borderId="33" xfId="5" applyFont="1" applyBorder="1" applyAlignment="1">
      <alignment vertical="center"/>
    </xf>
    <xf numFmtId="17" fontId="35" fillId="25" borderId="1" xfId="5" applyNumberFormat="1" applyFont="1" applyBorder="1" applyAlignment="1">
      <alignment horizontal="center" vertical="center"/>
    </xf>
    <xf numFmtId="0" fontId="35" fillId="25" borderId="1" xfId="5" applyFont="1" applyBorder="1" applyAlignment="1">
      <alignment vertical="center"/>
    </xf>
    <xf numFmtId="0" fontId="35" fillId="25" borderId="0" xfId="5" applyFont="1" applyBorder="1" applyAlignment="1">
      <alignment horizontal="center"/>
    </xf>
    <xf numFmtId="0" fontId="35" fillId="25" borderId="1" xfId="5" applyFont="1" applyBorder="1" applyAlignment="1">
      <alignment vertical="center" wrapText="1"/>
    </xf>
    <xf numFmtId="0" fontId="35" fillId="25" borderId="32" xfId="5" applyFont="1" applyBorder="1" applyAlignment="1">
      <alignment vertical="center"/>
    </xf>
    <xf numFmtId="0" fontId="32" fillId="0" borderId="11" xfId="2" applyFont="1" applyBorder="1" applyAlignment="1">
      <alignment horizontal="center" vertical="center"/>
    </xf>
    <xf numFmtId="0" fontId="37" fillId="27" borderId="11" xfId="2" applyFont="1" applyFill="1" applyBorder="1" applyAlignment="1">
      <alignment horizontal="center" vertical="center"/>
    </xf>
    <xf numFmtId="0" fontId="38" fillId="26" borderId="11" xfId="2" applyFont="1" applyFill="1" applyBorder="1" applyAlignment="1">
      <alignment horizontal="left" vertical="center"/>
    </xf>
    <xf numFmtId="0" fontId="38" fillId="26" borderId="11" xfId="2" applyFont="1" applyFill="1" applyBorder="1" applyAlignment="1">
      <alignment horizontal="center" vertical="center"/>
    </xf>
    <xf numFmtId="17" fontId="39" fillId="26" borderId="11" xfId="2" applyNumberFormat="1" applyFont="1" applyFill="1" applyBorder="1" applyAlignment="1">
      <alignment horizontal="center" vertical="center"/>
    </xf>
    <xf numFmtId="14" fontId="18" fillId="0" borderId="0" xfId="0" applyNumberFormat="1" applyFont="1" applyAlignment="1">
      <alignment horizontal="left" vertical="center" wrapText="1"/>
    </xf>
    <xf numFmtId="0" fontId="0" fillId="0" borderId="11" xfId="0" applyBorder="1"/>
    <xf numFmtId="0" fontId="31" fillId="17" borderId="11" xfId="0" applyFont="1" applyFill="1" applyBorder="1" applyAlignment="1">
      <alignment horizontal="center" vertical="center"/>
    </xf>
    <xf numFmtId="0" fontId="0" fillId="24" borderId="0" xfId="0" applyFill="1"/>
    <xf numFmtId="0" fontId="0" fillId="28" borderId="11" xfId="0" applyFill="1" applyBorder="1"/>
    <xf numFmtId="0" fontId="40" fillId="29" borderId="0" xfId="0" applyFont="1" applyFill="1"/>
    <xf numFmtId="0" fontId="40" fillId="0" borderId="0" xfId="0" applyFont="1"/>
    <xf numFmtId="0" fontId="41" fillId="0" borderId="0" xfId="0" applyFont="1" applyAlignment="1">
      <alignment vertical="center"/>
    </xf>
    <xf numFmtId="14" fontId="0" fillId="24" borderId="1" xfId="0" applyNumberFormat="1" applyFill="1" applyBorder="1"/>
    <xf numFmtId="14" fontId="0" fillId="24" borderId="21" xfId="0" applyNumberFormat="1" applyFill="1" applyBorder="1" applyAlignment="1">
      <alignment horizontal="center" vertical="center"/>
    </xf>
    <xf numFmtId="14" fontId="0" fillId="0" borderId="11" xfId="0" applyNumberFormat="1" applyBorder="1"/>
    <xf numFmtId="0" fontId="42" fillId="0" borderId="0" xfId="0" applyFont="1"/>
    <xf numFmtId="0" fontId="0" fillId="31" borderId="23" xfId="0" applyFill="1" applyBorder="1"/>
    <xf numFmtId="0" fontId="0" fillId="31" borderId="24" xfId="0" applyFill="1" applyBorder="1"/>
    <xf numFmtId="0" fontId="0" fillId="31" borderId="13" xfId="0" applyFill="1" applyBorder="1"/>
    <xf numFmtId="0" fontId="0" fillId="31" borderId="25" xfId="0" applyFill="1" applyBorder="1"/>
    <xf numFmtId="0" fontId="0" fillId="31" borderId="27" xfId="0" applyFill="1" applyBorder="1"/>
    <xf numFmtId="0" fontId="0" fillId="31" borderId="28" xfId="0" applyFill="1" applyBorder="1"/>
    <xf numFmtId="0" fontId="0" fillId="31" borderId="15" xfId="0" applyFill="1" applyBorder="1"/>
    <xf numFmtId="0" fontId="0" fillId="31" borderId="26" xfId="0" applyFill="1" applyBorder="1"/>
    <xf numFmtId="9" fontId="0" fillId="0" borderId="0" xfId="1" applyFont="1"/>
    <xf numFmtId="0" fontId="0" fillId="31" borderId="33" xfId="0" applyFill="1" applyBorder="1"/>
    <xf numFmtId="0" fontId="0" fillId="31" borderId="32" xfId="0" applyFill="1" applyBorder="1"/>
    <xf numFmtId="0" fontId="0" fillId="31" borderId="22" xfId="0" applyFill="1" applyBorder="1"/>
    <xf numFmtId="0" fontId="0" fillId="31" borderId="37" xfId="0" applyFill="1" applyBorder="1"/>
    <xf numFmtId="0" fontId="0" fillId="31" borderId="31" xfId="0" applyFill="1" applyBorder="1"/>
    <xf numFmtId="0" fontId="0" fillId="31" borderId="38" xfId="0" applyFill="1" applyBorder="1"/>
    <xf numFmtId="0" fontId="0" fillId="31" borderId="29" xfId="0" applyFill="1" applyBorder="1"/>
    <xf numFmtId="0" fontId="0" fillId="31" borderId="36" xfId="0" applyFill="1" applyBorder="1"/>
    <xf numFmtId="0" fontId="44" fillId="5" borderId="0" xfId="0" applyFont="1" applyFill="1" applyAlignment="1">
      <alignment horizontal="center"/>
    </xf>
    <xf numFmtId="0" fontId="44" fillId="5" borderId="0" xfId="0" applyFont="1" applyFill="1" applyAlignment="1">
      <alignment horizontal="center" wrapText="1"/>
    </xf>
    <xf numFmtId="0" fontId="41" fillId="0" borderId="11" xfId="0" applyFont="1" applyBorder="1" applyAlignment="1">
      <alignment horizontal="center" vertical="center"/>
    </xf>
    <xf numFmtId="9" fontId="43" fillId="0" borderId="11" xfId="1" applyFont="1" applyBorder="1" applyAlignment="1">
      <alignment horizontal="center" vertical="center"/>
    </xf>
    <xf numFmtId="9" fontId="43" fillId="0" borderId="11" xfId="1" applyFont="1" applyFill="1" applyBorder="1" applyAlignment="1">
      <alignment horizontal="center" vertical="center"/>
    </xf>
    <xf numFmtId="1" fontId="43" fillId="0" borderId="11" xfId="1" applyNumberFormat="1" applyFont="1" applyFill="1" applyBorder="1" applyAlignment="1">
      <alignment horizontal="center" vertical="center"/>
    </xf>
    <xf numFmtId="0" fontId="44" fillId="11" borderId="0" xfId="0" applyFont="1" applyFill="1" applyAlignment="1">
      <alignment horizontal="center" wrapText="1"/>
    </xf>
    <xf numFmtId="0" fontId="45" fillId="0" borderId="11" xfId="0" applyFont="1" applyBorder="1" applyAlignment="1">
      <alignment horizontal="center" vertical="center"/>
    </xf>
    <xf numFmtId="0" fontId="46" fillId="0" borderId="0" xfId="0" applyFont="1"/>
    <xf numFmtId="2" fontId="43" fillId="0" borderId="11" xfId="1" applyNumberFormat="1" applyFont="1" applyFill="1" applyBorder="1" applyAlignment="1">
      <alignment horizontal="center" vertical="center"/>
    </xf>
    <xf numFmtId="0" fontId="3" fillId="7" borderId="40" xfId="0" applyFont="1" applyFill="1" applyBorder="1"/>
    <xf numFmtId="0" fontId="0" fillId="23" borderId="39" xfId="0" applyFill="1" applyBorder="1"/>
    <xf numFmtId="0" fontId="0" fillId="22" borderId="39" xfId="0" applyFill="1" applyBorder="1"/>
    <xf numFmtId="1" fontId="47" fillId="0" borderId="0" xfId="3" applyNumberFormat="1" applyFont="1" applyFill="1" applyAlignment="1">
      <alignment horizontal="center" vertical="center"/>
    </xf>
    <xf numFmtId="0" fontId="47" fillId="15" borderId="0" xfId="1" applyNumberFormat="1" applyFont="1" applyFill="1" applyAlignment="1">
      <alignment horizontal="center" vertical="center"/>
    </xf>
    <xf numFmtId="0" fontId="47" fillId="0" borderId="0" xfId="1" applyNumberFormat="1" applyFont="1" applyFill="1" applyAlignment="1">
      <alignment horizontal="center" vertical="center" wrapText="1"/>
    </xf>
    <xf numFmtId="0" fontId="47" fillId="16" borderId="8" xfId="0" applyFont="1" applyFill="1" applyBorder="1" applyAlignment="1">
      <alignment horizontal="center" vertical="center"/>
    </xf>
    <xf numFmtId="0" fontId="47" fillId="16" borderId="0" xfId="0" applyFont="1" applyFill="1" applyAlignment="1">
      <alignment horizontal="center" vertical="center"/>
    </xf>
    <xf numFmtId="0" fontId="24" fillId="15" borderId="0" xfId="1" applyNumberFormat="1" applyFont="1" applyFill="1" applyAlignment="1">
      <alignment horizontal="center" vertical="center"/>
    </xf>
    <xf numFmtId="0" fontId="50" fillId="15" borderId="0" xfId="1" applyNumberFormat="1" applyFont="1" applyFill="1" applyAlignment="1">
      <alignment horizontal="center" vertical="center"/>
    </xf>
    <xf numFmtId="0" fontId="50" fillId="0" borderId="0" xfId="1" applyNumberFormat="1" applyFont="1" applyFill="1" applyAlignment="1">
      <alignment horizontal="center" vertical="center" wrapText="1"/>
    </xf>
    <xf numFmtId="0" fontId="50" fillId="16" borderId="0" xfId="1" applyNumberFormat="1" applyFont="1" applyFill="1" applyAlignment="1">
      <alignment horizontal="center" vertical="center"/>
    </xf>
    <xf numFmtId="0" fontId="47" fillId="0" borderId="0" xfId="0" applyFont="1" applyAlignment="1">
      <alignment horizontal="left" vertical="center" wrapText="1"/>
    </xf>
    <xf numFmtId="0" fontId="48" fillId="0" borderId="0" xfId="0" applyFont="1" applyAlignment="1">
      <alignment horizontal="center" vertical="center"/>
    </xf>
    <xf numFmtId="0" fontId="48" fillId="0" borderId="9" xfId="0" applyFont="1" applyBorder="1" applyAlignment="1">
      <alignment horizontal="center" vertical="center"/>
    </xf>
    <xf numFmtId="0" fontId="47" fillId="0" borderId="0" xfId="0" applyFont="1" applyAlignment="1">
      <alignment horizontal="center" vertical="center"/>
    </xf>
    <xf numFmtId="0" fontId="49" fillId="0" borderId="0" xfId="0" applyFont="1" applyAlignment="1">
      <alignment horizontal="center" vertical="center"/>
    </xf>
    <xf numFmtId="0" fontId="49" fillId="0" borderId="0" xfId="0" applyFont="1" applyAlignment="1">
      <alignment horizontal="left" vertical="center" wrapText="1"/>
    </xf>
    <xf numFmtId="0" fontId="51" fillId="0" borderId="0" xfId="0" applyFont="1" applyAlignment="1">
      <alignment horizontal="center" vertical="center"/>
    </xf>
    <xf numFmtId="1" fontId="52" fillId="0" borderId="0" xfId="0" applyNumberFormat="1" applyFont="1" applyAlignment="1">
      <alignment horizontal="center" vertical="center" wrapText="1"/>
    </xf>
    <xf numFmtId="0" fontId="49" fillId="0" borderId="0" xfId="0" applyFont="1" applyAlignment="1">
      <alignment vertical="center"/>
    </xf>
    <xf numFmtId="14" fontId="5" fillId="0" borderId="0" xfId="0" applyNumberFormat="1" applyFont="1" applyAlignment="1">
      <alignment horizontal="center" vertical="center"/>
    </xf>
    <xf numFmtId="0" fontId="49" fillId="0" borderId="0" xfId="0" applyFont="1" applyAlignment="1">
      <alignment vertical="center" wrapText="1"/>
    </xf>
    <xf numFmtId="0" fontId="49" fillId="0" borderId="0" xfId="0" applyFont="1"/>
    <xf numFmtId="0" fontId="7" fillId="4" borderId="0" xfId="0" applyFont="1" applyFill="1" applyAlignment="1">
      <alignment horizontal="center" vertical="center" wrapText="1"/>
    </xf>
    <xf numFmtId="0" fontId="49" fillId="0" borderId="0" xfId="0" applyFont="1" applyAlignment="1">
      <alignment horizontal="center" vertical="center" wrapText="1"/>
    </xf>
    <xf numFmtId="0" fontId="7" fillId="32" borderId="0" xfId="0" applyFont="1" applyFill="1" applyAlignment="1">
      <alignment horizontal="center" vertical="center"/>
    </xf>
    <xf numFmtId="0" fontId="7" fillId="32" borderId="0" xfId="0" applyFont="1" applyFill="1" applyAlignment="1">
      <alignment horizontal="left" vertical="center"/>
    </xf>
    <xf numFmtId="0" fontId="0" fillId="23" borderId="44" xfId="0" applyFill="1" applyBorder="1"/>
    <xf numFmtId="0" fontId="25" fillId="0" borderId="0" xfId="0" applyFont="1" applyAlignment="1">
      <alignment vertical="center" wrapText="1"/>
    </xf>
    <xf numFmtId="14" fontId="0" fillId="24" borderId="11" xfId="0" applyNumberFormat="1" applyFill="1" applyBorder="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center" vertical="center" wrapText="1"/>
    </xf>
    <xf numFmtId="0" fontId="7" fillId="0" borderId="0" xfId="0" applyFont="1"/>
    <xf numFmtId="0" fontId="7" fillId="0" borderId="0" xfId="0" applyFont="1" applyAlignment="1">
      <alignment horizontal="center" vertical="center"/>
    </xf>
    <xf numFmtId="0" fontId="8" fillId="0" borderId="0" xfId="0" applyFont="1" applyAlignment="1">
      <alignment horizontal="center" vertical="center"/>
    </xf>
    <xf numFmtId="1" fontId="7" fillId="0" borderId="0" xfId="0" applyNumberFormat="1" applyFont="1"/>
    <xf numFmtId="0" fontId="3" fillId="7" borderId="42" xfId="0" applyFont="1" applyFill="1" applyBorder="1" applyAlignment="1">
      <alignment horizontal="center" wrapText="1"/>
    </xf>
    <xf numFmtId="14" fontId="3" fillId="7" borderId="42" xfId="0" applyNumberFormat="1" applyFont="1" applyFill="1" applyBorder="1" applyAlignment="1">
      <alignment horizontal="center" wrapText="1"/>
    </xf>
    <xf numFmtId="0" fontId="3" fillId="7" borderId="43" xfId="0" applyFont="1" applyFill="1" applyBorder="1" applyAlignment="1">
      <alignment horizontal="center" wrapText="1"/>
    </xf>
    <xf numFmtId="0" fontId="3" fillId="7" borderId="41" xfId="0" applyFont="1" applyFill="1" applyBorder="1" applyAlignment="1">
      <alignment horizontal="center" wrapText="1"/>
    </xf>
    <xf numFmtId="1" fontId="0" fillId="23" borderId="45" xfId="0" applyNumberFormat="1" applyFill="1" applyBorder="1"/>
    <xf numFmtId="1" fontId="0" fillId="23" borderId="46" xfId="0" applyNumberFormat="1" applyFill="1" applyBorder="1"/>
    <xf numFmtId="0" fontId="54" fillId="0" borderId="0" xfId="0" applyFont="1" applyAlignment="1">
      <alignment horizontal="center" vertical="center"/>
    </xf>
    <xf numFmtId="0" fontId="54" fillId="0" borderId="0" xfId="0" applyFont="1" applyAlignment="1">
      <alignment horizontal="left" vertical="center"/>
    </xf>
    <xf numFmtId="0" fontId="11" fillId="34" borderId="0" xfId="0" applyFont="1" applyFill="1" applyAlignment="1">
      <alignment horizontal="center" vertical="center" wrapText="1"/>
    </xf>
    <xf numFmtId="0" fontId="47" fillId="0" borderId="0" xfId="0" applyFont="1" applyAlignment="1">
      <alignment horizontal="center" vertical="center" wrapText="1"/>
    </xf>
    <xf numFmtId="0" fontId="53" fillId="4" borderId="0" xfId="0" applyFont="1" applyFill="1" applyAlignment="1">
      <alignment horizontal="center"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vertical="top"/>
    </xf>
    <xf numFmtId="0" fontId="57" fillId="0" borderId="0" xfId="8" applyFont="1" applyAlignment="1">
      <alignment horizontal="center" vertical="top"/>
    </xf>
    <xf numFmtId="0" fontId="58" fillId="35" borderId="11" xfId="8" applyFont="1" applyFill="1" applyBorder="1" applyAlignment="1">
      <alignment horizontal="center" vertical="top" wrapText="1"/>
    </xf>
    <xf numFmtId="0" fontId="58" fillId="36" borderId="11" xfId="8" applyFont="1" applyFill="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0" fillId="37" borderId="0" xfId="0" applyFill="1" applyAlignment="1">
      <alignment horizontal="center" vertical="center"/>
    </xf>
    <xf numFmtId="0" fontId="0" fillId="24" borderId="0" xfId="0" applyFill="1" applyAlignment="1">
      <alignment horizontal="left" vertical="center"/>
    </xf>
    <xf numFmtId="0" fontId="0" fillId="38" borderId="0" xfId="0" applyFill="1" applyAlignment="1">
      <alignment horizontal="center" vertical="center"/>
    </xf>
    <xf numFmtId="49" fontId="16" fillId="0" borderId="0" xfId="0" applyNumberFormat="1" applyFont="1" applyAlignment="1">
      <alignment horizontal="left" vertical="center" wrapText="1"/>
    </xf>
    <xf numFmtId="49" fontId="55" fillId="0" borderId="0" xfId="0" applyNumberFormat="1" applyFont="1" applyAlignment="1">
      <alignment horizontal="left" vertical="center" wrapText="1"/>
    </xf>
    <xf numFmtId="0" fontId="3" fillId="7" borderId="41" xfId="0" applyFont="1" applyFill="1" applyBorder="1"/>
    <xf numFmtId="0" fontId="3" fillId="7" borderId="42" xfId="0" applyFont="1" applyFill="1" applyBorder="1"/>
    <xf numFmtId="0" fontId="31" fillId="33" borderId="0" xfId="6"/>
    <xf numFmtId="0" fontId="0" fillId="0" borderId="0" xfId="0" applyAlignment="1">
      <alignment vertical="top" wrapText="1"/>
    </xf>
    <xf numFmtId="0" fontId="0" fillId="0" borderId="49" xfId="0" applyBorder="1"/>
    <xf numFmtId="0" fontId="0" fillId="0" borderId="39" xfId="0" applyBorder="1"/>
    <xf numFmtId="0" fontId="18" fillId="0" borderId="0" xfId="2" applyFont="1"/>
    <xf numFmtId="0" fontId="18" fillId="0" borderId="11" xfId="2" applyFont="1" applyBorder="1" applyAlignment="1">
      <alignment horizontal="center" vertical="center"/>
    </xf>
    <xf numFmtId="0" fontId="18" fillId="0" borderId="11" xfId="2" applyFont="1" applyBorder="1" applyAlignment="1">
      <alignment horizontal="left" vertical="center" wrapText="1"/>
    </xf>
    <xf numFmtId="0" fontId="4" fillId="0" borderId="11" xfId="2" applyFont="1" applyBorder="1" applyAlignment="1">
      <alignment horizontal="center" vertical="center"/>
    </xf>
    <xf numFmtId="0" fontId="18" fillId="0" borderId="0" xfId="2" applyFont="1" applyAlignment="1">
      <alignment wrapText="1"/>
    </xf>
    <xf numFmtId="0" fontId="18" fillId="0" borderId="0" xfId="2" applyFont="1" applyAlignment="1">
      <alignment horizontal="center"/>
    </xf>
    <xf numFmtId="0" fontId="3" fillId="7" borderId="0" xfId="0" applyFont="1" applyFill="1" applyAlignment="1">
      <alignment horizontal="center" vertical="center" wrapText="1"/>
    </xf>
    <xf numFmtId="0" fontId="61" fillId="39" borderId="0" xfId="9" applyAlignment="1">
      <alignment horizontal="center" vertical="center"/>
    </xf>
    <xf numFmtId="0" fontId="3" fillId="7" borderId="0" xfId="0" applyFont="1" applyFill="1" applyAlignment="1">
      <alignment horizontal="center" vertical="top"/>
    </xf>
    <xf numFmtId="0" fontId="31" fillId="40" borderId="0" xfId="10" applyAlignment="1">
      <alignment horizontal="left" vertical="center" wrapText="1"/>
    </xf>
    <xf numFmtId="0" fontId="31" fillId="40" borderId="0" xfId="10" applyAlignment="1">
      <alignment horizontal="center" vertical="center" wrapText="1"/>
    </xf>
    <xf numFmtId="0" fontId="31" fillId="41" borderId="0" xfId="11" applyAlignment="1">
      <alignment horizontal="center" vertical="center" wrapText="1"/>
    </xf>
    <xf numFmtId="0" fontId="3" fillId="42" borderId="0" xfId="0" applyFont="1" applyFill="1" applyAlignment="1">
      <alignment horizontal="center" vertical="center" wrapText="1"/>
    </xf>
    <xf numFmtId="0" fontId="3" fillId="43" borderId="0" xfId="0" applyFont="1" applyFill="1" applyAlignment="1">
      <alignment horizontal="center" vertical="center" wrapText="1"/>
    </xf>
    <xf numFmtId="0" fontId="3" fillId="44" borderId="0" xfId="0" applyFont="1" applyFill="1" applyAlignment="1">
      <alignment horizontal="center" vertical="center" wrapText="1"/>
    </xf>
    <xf numFmtId="0" fontId="3" fillId="45" borderId="0" xfId="0" applyFont="1" applyFill="1" applyAlignment="1">
      <alignment horizontal="center" vertical="center" wrapText="1"/>
    </xf>
    <xf numFmtId="0" fontId="5" fillId="0" borderId="0" xfId="0" applyFont="1" applyAlignment="1">
      <alignment horizontal="left" vertical="top" wrapText="1"/>
    </xf>
    <xf numFmtId="0" fontId="18" fillId="0" borderId="0" xfId="0" applyFont="1" applyAlignment="1">
      <alignment horizontal="center" vertical="center" wrapText="1"/>
    </xf>
    <xf numFmtId="9" fontId="18" fillId="0" borderId="0" xfId="1" applyFont="1" applyAlignment="1">
      <alignment horizontal="center" vertical="center" wrapText="1"/>
    </xf>
    <xf numFmtId="0" fontId="18" fillId="0" borderId="0" xfId="2" applyFont="1" applyAlignment="1">
      <alignment horizontal="left"/>
    </xf>
    <xf numFmtId="0" fontId="31" fillId="26" borderId="11" xfId="2" applyFont="1" applyFill="1" applyBorder="1" applyAlignment="1">
      <alignment horizontal="left" vertical="center"/>
    </xf>
    <xf numFmtId="0" fontId="31" fillId="26" borderId="11" xfId="2" applyFont="1" applyFill="1" applyBorder="1" applyAlignment="1">
      <alignment horizontal="center" vertical="center"/>
    </xf>
    <xf numFmtId="0" fontId="18" fillId="22" borderId="11" xfId="2" applyFont="1" applyFill="1" applyBorder="1" applyAlignment="1">
      <alignment horizontal="center" vertical="center" wrapText="1"/>
    </xf>
    <xf numFmtId="0" fontId="18" fillId="27" borderId="11" xfId="2" applyFont="1" applyFill="1" applyBorder="1" applyAlignment="1">
      <alignment horizontal="center" vertical="center"/>
    </xf>
    <xf numFmtId="0" fontId="18" fillId="0" borderId="0" xfId="2" applyFont="1" applyAlignment="1">
      <alignment horizontal="center" vertical="center"/>
    </xf>
    <xf numFmtId="0" fontId="6" fillId="25" borderId="19" xfId="5" applyBorder="1" applyAlignment="1">
      <alignment horizontal="center" vertical="center"/>
    </xf>
    <xf numFmtId="0" fontId="6" fillId="25" borderId="20" xfId="5" applyBorder="1" applyAlignment="1">
      <alignment horizontal="center" vertical="center"/>
    </xf>
    <xf numFmtId="0" fontId="6" fillId="25" borderId="21" xfId="5" applyBorder="1" applyAlignment="1">
      <alignment horizontal="center" vertical="center"/>
    </xf>
    <xf numFmtId="0" fontId="6" fillId="25" borderId="32" xfId="5" applyBorder="1" applyAlignment="1">
      <alignment vertical="center"/>
    </xf>
    <xf numFmtId="0" fontId="6" fillId="25" borderId="1" xfId="5" applyBorder="1" applyAlignment="1">
      <alignment vertical="center"/>
    </xf>
    <xf numFmtId="0" fontId="6" fillId="25" borderId="1" xfId="5" applyBorder="1" applyAlignment="1">
      <alignment horizontal="center" vertical="center"/>
    </xf>
    <xf numFmtId="0" fontId="6" fillId="25" borderId="1" xfId="5" applyBorder="1" applyAlignment="1">
      <alignment vertical="center" wrapText="1"/>
    </xf>
    <xf numFmtId="0" fontId="6" fillId="25" borderId="0" xfId="5" applyBorder="1" applyAlignment="1">
      <alignment horizontal="center"/>
    </xf>
    <xf numFmtId="0" fontId="6" fillId="25" borderId="33" xfId="5" applyBorder="1" applyAlignment="1">
      <alignment vertical="center"/>
    </xf>
    <xf numFmtId="0" fontId="0" fillId="0" borderId="11" xfId="2" applyFont="1" applyBorder="1" applyAlignment="1">
      <alignment horizontal="left" vertical="center"/>
    </xf>
    <xf numFmtId="0" fontId="0" fillId="0" borderId="1" xfId="2" applyFont="1" applyBorder="1" applyAlignment="1">
      <alignment horizontal="left" vertical="center"/>
    </xf>
    <xf numFmtId="0" fontId="0" fillId="0" borderId="1" xfId="2" applyFont="1" applyBorder="1" applyAlignment="1">
      <alignment horizontal="center" vertical="center"/>
    </xf>
    <xf numFmtId="0" fontId="4" fillId="0" borderId="21" xfId="2" applyFont="1" applyBorder="1" applyAlignment="1">
      <alignment horizontal="center" vertical="center"/>
    </xf>
    <xf numFmtId="0" fontId="0" fillId="0" borderId="21" xfId="2" applyFont="1" applyBorder="1" applyAlignment="1">
      <alignment horizontal="center" vertical="center"/>
    </xf>
    <xf numFmtId="0" fontId="18" fillId="0" borderId="11" xfId="2" applyFont="1" applyBorder="1" applyAlignment="1">
      <alignment horizontal="center" vertical="center" wrapText="1"/>
    </xf>
    <xf numFmtId="0" fontId="0" fillId="0" borderId="21" xfId="2" applyFont="1" applyBorder="1" applyAlignment="1">
      <alignment horizontal="left" vertical="center"/>
    </xf>
    <xf numFmtId="0" fontId="18" fillId="0" borderId="1" xfId="2" applyFont="1" applyBorder="1" applyAlignment="1">
      <alignment horizontal="left" vertical="center" wrapText="1"/>
    </xf>
    <xf numFmtId="0" fontId="4" fillId="0" borderId="1" xfId="2" applyFont="1" applyBorder="1" applyAlignment="1">
      <alignment horizontal="center" vertical="center"/>
    </xf>
    <xf numFmtId="0" fontId="4" fillId="0" borderId="32" xfId="2" applyFont="1" applyBorder="1" applyAlignment="1">
      <alignment horizontal="center" vertical="center"/>
    </xf>
    <xf numFmtId="0" fontId="0" fillId="0" borderId="32" xfId="2" applyFont="1" applyBorder="1" applyAlignment="1">
      <alignment horizontal="center" vertical="center"/>
    </xf>
    <xf numFmtId="0" fontId="0" fillId="0" borderId="32" xfId="2" applyFont="1" applyBorder="1" applyAlignment="1">
      <alignment horizontal="left" vertical="center"/>
    </xf>
    <xf numFmtId="0" fontId="0" fillId="23" borderId="51" xfId="2" applyFont="1" applyFill="1" applyBorder="1" applyAlignment="1">
      <alignment horizontal="left" vertical="center"/>
    </xf>
    <xf numFmtId="0" fontId="0" fillId="23" borderId="51" xfId="2" applyFont="1" applyFill="1" applyBorder="1" applyAlignment="1">
      <alignment horizontal="center" vertical="center"/>
    </xf>
    <xf numFmtId="0" fontId="18" fillId="23" borderId="51" xfId="2" applyFont="1" applyFill="1" applyBorder="1" applyAlignment="1">
      <alignment horizontal="left" vertical="center"/>
    </xf>
    <xf numFmtId="0" fontId="0" fillId="22" borderId="51" xfId="2" applyFont="1" applyFill="1" applyBorder="1" applyAlignment="1">
      <alignment horizontal="left" vertical="center"/>
    </xf>
    <xf numFmtId="0" fontId="0" fillId="22" borderId="51" xfId="2" applyFont="1" applyFill="1" applyBorder="1" applyAlignment="1">
      <alignment horizontal="center" vertical="center"/>
    </xf>
    <xf numFmtId="0" fontId="18" fillId="22" borderId="51" xfId="2" applyFont="1" applyFill="1" applyBorder="1" applyAlignment="1">
      <alignment horizontal="left" vertical="center"/>
    </xf>
    <xf numFmtId="0" fontId="0" fillId="22" borderId="50" xfId="2" applyFont="1" applyFill="1" applyBorder="1" applyAlignment="1">
      <alignment horizontal="left" vertical="center"/>
    </xf>
    <xf numFmtId="0" fontId="0" fillId="22" borderId="50" xfId="2" applyFont="1" applyFill="1" applyBorder="1" applyAlignment="1">
      <alignment horizontal="center" vertical="center"/>
    </xf>
    <xf numFmtId="0" fontId="18" fillId="22" borderId="50" xfId="2" applyFont="1" applyFill="1" applyBorder="1" applyAlignment="1">
      <alignment horizontal="left" vertical="center"/>
    </xf>
    <xf numFmtId="0" fontId="0" fillId="23" borderId="50" xfId="2" applyFont="1" applyFill="1" applyBorder="1" applyAlignment="1">
      <alignment horizontal="left" vertical="center"/>
    </xf>
    <xf numFmtId="0" fontId="0" fillId="23" borderId="50" xfId="2" applyFont="1" applyFill="1" applyBorder="1" applyAlignment="1">
      <alignment horizontal="center" vertical="center"/>
    </xf>
    <xf numFmtId="0" fontId="18" fillId="23" borderId="50" xfId="2" applyFont="1" applyFill="1" applyBorder="1" applyAlignment="1">
      <alignment horizontal="left" vertical="center"/>
    </xf>
    <xf numFmtId="0" fontId="0" fillId="23" borderId="52" xfId="2" applyFont="1" applyFill="1" applyBorder="1" applyAlignment="1">
      <alignment horizontal="left" vertical="center"/>
    </xf>
    <xf numFmtId="0" fontId="0" fillId="23" borderId="52" xfId="2" applyFont="1" applyFill="1" applyBorder="1" applyAlignment="1">
      <alignment horizontal="center" vertical="center"/>
    </xf>
    <xf numFmtId="0" fontId="18" fillId="23" borderId="52" xfId="2" applyFont="1" applyFill="1" applyBorder="1" applyAlignment="1">
      <alignment horizontal="left" vertical="center"/>
    </xf>
    <xf numFmtId="14" fontId="3" fillId="7" borderId="48" xfId="0" applyNumberFormat="1" applyFont="1" applyFill="1" applyBorder="1" applyAlignment="1">
      <alignment horizontal="left"/>
    </xf>
    <xf numFmtId="0" fontId="62" fillId="0" borderId="0" xfId="0" applyFont="1" applyAlignment="1">
      <alignment vertical="top"/>
    </xf>
    <xf numFmtId="0" fontId="58" fillId="36" borderId="11" xfId="8" applyFont="1" applyFill="1" applyBorder="1" applyAlignment="1">
      <alignment horizontal="center" vertical="top" wrapText="1"/>
    </xf>
    <xf numFmtId="0" fontId="62" fillId="0" borderId="0" xfId="0" applyFont="1"/>
    <xf numFmtId="0" fontId="57" fillId="0" borderId="0" xfId="8" applyFont="1" applyAlignment="1">
      <alignment horizontal="center" vertical="center"/>
    </xf>
    <xf numFmtId="0" fontId="58" fillId="35" borderId="11" xfId="8" applyFont="1" applyFill="1" applyBorder="1" applyAlignment="1">
      <alignment horizontal="center" vertical="center" wrapText="1"/>
    </xf>
    <xf numFmtId="0" fontId="0" fillId="0" borderId="53" xfId="0" applyBorder="1"/>
    <xf numFmtId="0" fontId="0" fillId="0" borderId="53" xfId="0" pivotButton="1" applyBorder="1"/>
    <xf numFmtId="0" fontId="0" fillId="0" borderId="53" xfId="0" applyBorder="1" applyAlignment="1">
      <alignment horizontal="left"/>
    </xf>
    <xf numFmtId="0" fontId="0" fillId="0" borderId="54" xfId="0" applyBorder="1" applyAlignment="1">
      <alignment horizontal="left"/>
    </xf>
    <xf numFmtId="0" fontId="0" fillId="0" borderId="55" xfId="0" applyBorder="1" applyAlignment="1">
      <alignment horizontal="left"/>
    </xf>
    <xf numFmtId="0" fontId="0" fillId="0" borderId="56" xfId="0" applyBorder="1"/>
    <xf numFmtId="0" fontId="0" fillId="0" borderId="54" xfId="0" applyBorder="1"/>
    <xf numFmtId="0" fontId="0" fillId="0" borderId="57" xfId="0" applyBorder="1"/>
    <xf numFmtId="0" fontId="0" fillId="0" borderId="55" xfId="0" applyBorder="1"/>
    <xf numFmtId="0" fontId="0" fillId="0" borderId="58" xfId="0" applyBorder="1"/>
    <xf numFmtId="0" fontId="0" fillId="0" borderId="59" xfId="0" applyBorder="1"/>
    <xf numFmtId="0" fontId="0" fillId="0" borderId="60" xfId="0" applyBorder="1"/>
    <xf numFmtId="0" fontId="0" fillId="0" borderId="61" xfId="0" applyBorder="1"/>
    <xf numFmtId="165" fontId="0" fillId="0" borderId="11" xfId="2" applyNumberFormat="1" applyFont="1" applyBorder="1" applyAlignment="1">
      <alignment horizontal="center" vertical="center" wrapText="1"/>
    </xf>
    <xf numFmtId="0" fontId="0" fillId="0" borderId="1" xfId="2" applyFont="1" applyBorder="1" applyAlignment="1">
      <alignment horizontal="left" vertical="center" wrapText="1"/>
    </xf>
    <xf numFmtId="0" fontId="4" fillId="24" borderId="1" xfId="2" applyFont="1" applyFill="1" applyBorder="1" applyAlignment="1">
      <alignment horizontal="center" vertical="center"/>
    </xf>
    <xf numFmtId="0" fontId="4" fillId="24" borderId="11" xfId="2" applyFont="1" applyFill="1" applyBorder="1" applyAlignment="1">
      <alignment horizontal="center" vertical="center"/>
    </xf>
    <xf numFmtId="0" fontId="4" fillId="46" borderId="11" xfId="2" applyFont="1" applyFill="1" applyBorder="1" applyAlignment="1">
      <alignment horizontal="center" vertical="center"/>
    </xf>
    <xf numFmtId="0" fontId="0" fillId="0" borderId="47" xfId="2" applyFont="1" applyBorder="1" applyAlignment="1">
      <alignment horizontal="left" vertical="center"/>
    </xf>
    <xf numFmtId="0" fontId="0" fillId="0" borderId="47" xfId="2" applyFont="1" applyBorder="1" applyAlignment="1">
      <alignment horizontal="center" vertical="center"/>
    </xf>
    <xf numFmtId="0" fontId="18" fillId="0" borderId="1" xfId="2" applyFont="1" applyBorder="1" applyAlignment="1">
      <alignment horizontal="center" vertical="center" wrapText="1"/>
    </xf>
    <xf numFmtId="0" fontId="32" fillId="27" borderId="19" xfId="2" applyFont="1" applyFill="1" applyBorder="1" applyAlignment="1">
      <alignment horizontal="center"/>
    </xf>
    <xf numFmtId="0" fontId="32" fillId="27" borderId="20" xfId="2" applyFont="1" applyFill="1" applyBorder="1" applyAlignment="1">
      <alignment horizontal="center"/>
    </xf>
    <xf numFmtId="0" fontId="36" fillId="26" borderId="11" xfId="2" applyFont="1" applyFill="1" applyBorder="1" applyAlignment="1">
      <alignment horizontal="center"/>
    </xf>
    <xf numFmtId="0" fontId="3" fillId="26" borderId="11" xfId="2" applyFont="1" applyFill="1" applyBorder="1" applyAlignment="1">
      <alignment horizontal="center"/>
    </xf>
    <xf numFmtId="0" fontId="18" fillId="27" borderId="19" xfId="2" applyFont="1" applyFill="1" applyBorder="1" applyAlignment="1">
      <alignment horizontal="center"/>
    </xf>
    <xf numFmtId="0" fontId="18" fillId="27" borderId="20" xfId="2" applyFont="1" applyFill="1" applyBorder="1" applyAlignment="1">
      <alignment horizontal="center"/>
    </xf>
    <xf numFmtId="0" fontId="18" fillId="27" borderId="21" xfId="2" applyFont="1" applyFill="1" applyBorder="1" applyAlignment="1">
      <alignment horizontal="center"/>
    </xf>
    <xf numFmtId="0" fontId="22" fillId="0" borderId="16"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3" fillId="18" borderId="16" xfId="0" applyFont="1" applyFill="1" applyBorder="1" applyAlignment="1">
      <alignment horizontal="center" vertical="center" wrapText="1"/>
    </xf>
    <xf numFmtId="0" fontId="23" fillId="18" borderId="17" xfId="0" applyFont="1" applyFill="1" applyBorder="1" applyAlignment="1">
      <alignment horizontal="center" vertical="center" wrapText="1"/>
    </xf>
    <xf numFmtId="0" fontId="23" fillId="18" borderId="18" xfId="0" applyFont="1" applyFill="1" applyBorder="1" applyAlignment="1">
      <alignment horizontal="center" vertical="center" wrapText="1"/>
    </xf>
    <xf numFmtId="0" fontId="21" fillId="0" borderId="12" xfId="0" applyFont="1" applyBorder="1" applyAlignment="1">
      <alignment horizontal="center" vertical="center" wrapText="1"/>
    </xf>
    <xf numFmtId="0" fontId="21" fillId="0" borderId="14" xfId="0" applyFont="1" applyBorder="1" applyAlignment="1">
      <alignment horizontal="center" vertical="center" wrapText="1"/>
    </xf>
    <xf numFmtId="0" fontId="4" fillId="0" borderId="0" xfId="0" applyFont="1" applyAlignment="1">
      <alignment horizontal="left" vertical="top"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3" fillId="5" borderId="7" xfId="0" applyFont="1" applyFill="1" applyBorder="1" applyAlignment="1">
      <alignment horizontal="center"/>
    </xf>
    <xf numFmtId="0" fontId="14" fillId="2" borderId="10"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20" fillId="0" borderId="19" xfId="0" applyFont="1" applyBorder="1" applyAlignment="1">
      <alignment horizontal="left" vertical="center"/>
    </xf>
    <xf numFmtId="0" fontId="20" fillId="0" borderId="20" xfId="0" applyFont="1" applyBorder="1" applyAlignment="1">
      <alignment horizontal="left" vertical="center"/>
    </xf>
    <xf numFmtId="0" fontId="20" fillId="0" borderId="21" xfId="0" applyFont="1" applyBorder="1" applyAlignment="1">
      <alignment horizontal="left" vertical="center"/>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3" fillId="17" borderId="21"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0" xfId="0" applyFont="1" applyAlignment="1">
      <alignment horizontal="center" vertical="center" wrapText="1"/>
    </xf>
    <xf numFmtId="0" fontId="3" fillId="2" borderId="22" xfId="0" applyFont="1" applyFill="1" applyBorder="1" applyAlignment="1">
      <alignment horizontal="center"/>
    </xf>
    <xf numFmtId="0" fontId="3" fillId="2" borderId="0" xfId="0" applyFont="1" applyFill="1" applyAlignment="1">
      <alignment horizontal="center"/>
    </xf>
    <xf numFmtId="0" fontId="3" fillId="30" borderId="0" xfId="0" applyFont="1" applyFill="1" applyAlignment="1">
      <alignment vertical="center"/>
    </xf>
    <xf numFmtId="0" fontId="0" fillId="0" borderId="0" xfId="0" applyAlignment="1">
      <alignment horizontal="center"/>
    </xf>
    <xf numFmtId="0" fontId="56" fillId="0" borderId="11" xfId="2" applyFont="1" applyBorder="1" applyAlignment="1">
      <alignment horizontal="center" vertical="top"/>
    </xf>
    <xf numFmtId="0" fontId="58" fillId="0" borderId="1" xfId="2" applyFont="1" applyBorder="1" applyAlignment="1">
      <alignment horizontal="center" vertical="center" textRotation="90"/>
    </xf>
    <xf numFmtId="0" fontId="58" fillId="0" borderId="47" xfId="2" applyFont="1" applyBorder="1" applyAlignment="1">
      <alignment horizontal="center" vertical="center" textRotation="90"/>
    </xf>
    <xf numFmtId="0" fontId="58" fillId="0" borderId="30" xfId="2" applyFont="1" applyBorder="1" applyAlignment="1">
      <alignment horizontal="center" vertical="center" textRotation="90"/>
    </xf>
    <xf numFmtId="0" fontId="59" fillId="31" borderId="1" xfId="2" applyFont="1" applyFill="1" applyBorder="1" applyAlignment="1">
      <alignment horizontal="center" vertical="top"/>
    </xf>
    <xf numFmtId="0" fontId="59" fillId="31" borderId="47" xfId="2" applyFont="1" applyFill="1" applyBorder="1" applyAlignment="1">
      <alignment horizontal="center" vertical="top"/>
    </xf>
    <xf numFmtId="0" fontId="59" fillId="31" borderId="30" xfId="2" applyFont="1" applyFill="1" applyBorder="1" applyAlignment="1">
      <alignment horizontal="center" vertical="top"/>
    </xf>
    <xf numFmtId="0" fontId="58" fillId="0" borderId="1" xfId="2" applyFont="1" applyBorder="1" applyAlignment="1">
      <alignment horizontal="left" vertical="top" wrapText="1"/>
    </xf>
    <xf numFmtId="0" fontId="58" fillId="0" borderId="47" xfId="2" applyFont="1" applyBorder="1" applyAlignment="1">
      <alignment horizontal="left" vertical="top" wrapText="1"/>
    </xf>
    <xf numFmtId="0" fontId="58" fillId="0" borderId="30" xfId="2" applyFont="1" applyBorder="1" applyAlignment="1">
      <alignment horizontal="left" vertical="top" wrapText="1"/>
    </xf>
    <xf numFmtId="0" fontId="58" fillId="0" borderId="11" xfId="2" applyFont="1" applyBorder="1" applyAlignment="1">
      <alignment horizontal="left" vertical="top" wrapText="1"/>
    </xf>
    <xf numFmtId="0" fontId="56" fillId="0" borderId="11" xfId="2" applyFont="1" applyBorder="1" applyAlignment="1">
      <alignment horizontal="center" vertical="center"/>
    </xf>
    <xf numFmtId="0" fontId="58" fillId="0" borderId="11" xfId="2" applyFont="1" applyBorder="1" applyAlignment="1">
      <alignment horizontal="center" vertical="center" textRotation="90"/>
    </xf>
    <xf numFmtId="0" fontId="59" fillId="31" borderId="11" xfId="2" applyFont="1" applyFill="1" applyBorder="1" applyAlignment="1">
      <alignment horizontal="center" vertical="center"/>
    </xf>
    <xf numFmtId="0" fontId="59" fillId="31" borderId="11" xfId="8" applyFont="1" applyFill="1" applyBorder="1" applyAlignment="1">
      <alignment horizontal="center" vertical="center"/>
    </xf>
    <xf numFmtId="165" fontId="0" fillId="0" borderId="1" xfId="2" applyNumberFormat="1" applyFont="1" applyBorder="1" applyAlignment="1">
      <alignment horizontal="center" vertical="center" wrapText="1"/>
    </xf>
    <xf numFmtId="165" fontId="60" fillId="0" borderId="47" xfId="2" applyNumberFormat="1" applyFont="1" applyBorder="1" applyAlignment="1">
      <alignment horizontal="center" vertical="center" wrapText="1"/>
    </xf>
    <xf numFmtId="165" fontId="60" fillId="0" borderId="30" xfId="2" applyNumberFormat="1" applyFont="1" applyBorder="1" applyAlignment="1">
      <alignment horizontal="center" vertical="center" wrapText="1"/>
    </xf>
    <xf numFmtId="165" fontId="0" fillId="0" borderId="47" xfId="2" applyNumberFormat="1" applyFont="1" applyBorder="1" applyAlignment="1">
      <alignment horizontal="center" vertical="center" wrapText="1"/>
    </xf>
    <xf numFmtId="165" fontId="0" fillId="0" borderId="30" xfId="2" applyNumberFormat="1" applyFont="1" applyBorder="1" applyAlignment="1">
      <alignment horizontal="center" vertical="center" wrapText="1"/>
    </xf>
  </cellXfs>
  <cellStyles count="12">
    <cellStyle name="60% - Accent1" xfId="5" builtinId="32"/>
    <cellStyle name="Accent1" xfId="6" builtinId="29"/>
    <cellStyle name="Accent4" xfId="10" builtinId="41"/>
    <cellStyle name="Accent5" xfId="11" builtinId="45"/>
    <cellStyle name="Bad" xfId="9" builtinId="27"/>
    <cellStyle name="Comma" xfId="3" builtinId="3"/>
    <cellStyle name="Currency 2" xfId="7" xr:uid="{24ECE0C3-9788-4264-8A5F-27EE82F29956}"/>
    <cellStyle name="Hyperlink" xfId="4" builtinId="8"/>
    <cellStyle name="Normal" xfId="0" builtinId="0"/>
    <cellStyle name="Normal 2" xfId="2" xr:uid="{00000000-0005-0000-0000-000001000000}"/>
    <cellStyle name="Normal 4" xfId="8" xr:uid="{955A531D-ED38-4D13-8F47-59289387C7E7}"/>
    <cellStyle name="Percent" xfId="1" builtinId="5"/>
  </cellStyles>
  <dxfs count="469">
    <dxf>
      <font>
        <color theme="0"/>
      </font>
      <fill>
        <patternFill>
          <bgColor rgb="FF00B050"/>
        </patternFill>
      </fill>
    </dxf>
    <dxf>
      <font>
        <color auto="1"/>
      </font>
      <fill>
        <patternFill>
          <bgColor rgb="FFFFFF00"/>
        </patternFill>
      </fill>
    </dxf>
    <dxf>
      <font>
        <color theme="0"/>
      </font>
      <fill>
        <patternFill>
          <bgColor rgb="FFFF0000"/>
        </patternFill>
      </fill>
    </dxf>
    <dxf>
      <font>
        <color auto="1"/>
      </font>
      <fill>
        <patternFill patternType="none">
          <bgColor auto="1"/>
        </patternFill>
      </fill>
    </dxf>
    <dxf>
      <font>
        <color theme="0"/>
      </font>
      <fill>
        <patternFill>
          <bgColor rgb="FF00B050"/>
        </patternFill>
      </fill>
    </dxf>
    <dxf>
      <font>
        <color auto="1"/>
      </font>
      <fill>
        <patternFill>
          <bgColor rgb="FFFFFF00"/>
        </patternFill>
      </fill>
    </dxf>
    <dxf>
      <font>
        <color theme="0"/>
      </font>
      <fill>
        <patternFill>
          <bgColor rgb="FFFF0000"/>
        </patternFill>
      </fill>
    </dxf>
    <dxf>
      <font>
        <color auto="1"/>
      </font>
      <fill>
        <patternFill patternType="none">
          <bgColor auto="1"/>
        </patternFill>
      </fill>
    </dxf>
    <dxf>
      <font>
        <color theme="0"/>
      </font>
      <fill>
        <patternFill>
          <bgColor rgb="FF00B050"/>
        </patternFill>
      </fill>
    </dxf>
    <dxf>
      <font>
        <color auto="1"/>
      </font>
      <fill>
        <patternFill>
          <bgColor rgb="FFFFFF00"/>
        </patternFill>
      </fill>
    </dxf>
    <dxf>
      <font>
        <color theme="0"/>
      </font>
      <fill>
        <patternFill>
          <bgColor rgb="FFFF0000"/>
        </patternFill>
      </fill>
    </dxf>
    <dxf>
      <font>
        <color auto="1"/>
      </font>
      <fill>
        <patternFill patternType="none">
          <bgColor auto="1"/>
        </patternFill>
      </fill>
    </dxf>
    <dxf>
      <font>
        <color theme="0"/>
      </font>
      <fill>
        <patternFill>
          <bgColor rgb="FF00B050"/>
        </patternFill>
      </fill>
    </dxf>
    <dxf>
      <font>
        <color auto="1"/>
      </font>
      <fill>
        <patternFill>
          <bgColor rgb="FFFFFF00"/>
        </patternFill>
      </fill>
    </dxf>
    <dxf>
      <font>
        <color theme="0"/>
      </font>
      <fill>
        <patternFill>
          <bgColor rgb="FFFF0000"/>
        </patternFill>
      </fill>
    </dxf>
    <dxf>
      <font>
        <color auto="1"/>
      </font>
      <fill>
        <patternFill patternType="none">
          <bgColor auto="1"/>
        </patternFill>
      </fill>
    </dxf>
    <dxf>
      <fill>
        <patternFill>
          <bgColor rgb="FF00B050"/>
        </patternFill>
      </fill>
    </dxf>
    <dxf>
      <fill>
        <patternFill>
          <bgColor rgb="FFFF0000"/>
        </patternFill>
      </fill>
    </dxf>
    <dxf>
      <fill>
        <patternFill>
          <bgColor theme="3" tint="0.39994506668294322"/>
        </patternFill>
      </fill>
    </dxf>
    <dxf>
      <fill>
        <patternFill>
          <bgColor theme="8"/>
        </patternFill>
      </fill>
    </dxf>
    <dxf>
      <fill>
        <patternFill>
          <bgColor rgb="FFFFC000"/>
        </patternFill>
      </fill>
    </dxf>
    <dxf>
      <fill>
        <patternFill>
          <bgColor theme="7" tint="0.79998168889431442"/>
        </patternFill>
      </fill>
    </dxf>
    <dxf>
      <fill>
        <patternFill>
          <bgColor theme="9" tint="0.79998168889431442"/>
        </patternFill>
      </fill>
    </dxf>
    <dxf>
      <fill>
        <patternFill>
          <bgColor theme="3" tint="0.39994506668294322"/>
        </patternFill>
      </fill>
    </dxf>
    <dxf>
      <fill>
        <patternFill>
          <bgColor theme="8"/>
        </patternFill>
      </fill>
    </dxf>
    <dxf>
      <fill>
        <patternFill>
          <bgColor rgb="FFFFC000"/>
        </patternFill>
      </fill>
    </dxf>
    <dxf>
      <fill>
        <patternFill>
          <bgColor theme="0" tint="-0.24994659260841701"/>
        </patternFill>
      </fill>
    </dxf>
    <dxf>
      <fill>
        <patternFill>
          <bgColor theme="5" tint="0.59996337778862885"/>
        </patternFill>
      </fill>
    </dxf>
    <dxf>
      <fill>
        <patternFill>
          <bgColor theme="7" tint="0.79998168889431442"/>
        </patternFill>
      </fill>
    </dxf>
    <dxf>
      <fill>
        <patternFill>
          <bgColor theme="8" tint="0.79998168889431442"/>
        </patternFill>
      </fill>
    </dxf>
    <dxf>
      <fill>
        <patternFill>
          <bgColor rgb="FFDCC5ED"/>
        </patternFill>
      </fill>
    </dxf>
    <dxf>
      <fill>
        <patternFill>
          <bgColor theme="6" tint="0.59996337778862885"/>
        </patternFill>
      </fill>
    </dxf>
    <dxf>
      <fill>
        <patternFill>
          <bgColor rgb="FFFFB3B3"/>
        </patternFill>
      </fill>
    </dxf>
    <dxf>
      <fill>
        <patternFill>
          <bgColor rgb="FFFFFF00"/>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rgb="FFFFFF00"/>
        </patternFill>
      </fill>
    </dxf>
    <dxf>
      <font>
        <b/>
        <i val="0"/>
        <color rgb="FF519FD7"/>
      </font>
    </dxf>
    <dxf>
      <font>
        <b/>
        <i val="0"/>
        <color rgb="FF519FD7"/>
      </font>
    </dxf>
    <dxf>
      <font>
        <color rgb="FFF99D1C"/>
      </font>
    </dxf>
    <dxf>
      <font>
        <b/>
        <i val="0"/>
        <color rgb="FFEF4044"/>
      </font>
    </dxf>
    <dxf>
      <font>
        <b/>
        <i val="0"/>
        <color rgb="FF875295"/>
      </font>
    </dxf>
    <dxf>
      <font>
        <b/>
        <i val="0"/>
        <color rgb="FF519FD7"/>
      </font>
    </dxf>
    <dxf>
      <font>
        <b/>
        <i val="0"/>
        <color rgb="FF519FD7"/>
      </font>
    </dxf>
    <dxf>
      <font>
        <color rgb="FFF99D1C"/>
      </font>
    </dxf>
    <dxf>
      <font>
        <b/>
        <i val="0"/>
        <color rgb="FFEF4044"/>
      </font>
    </dxf>
    <dxf>
      <font>
        <b/>
        <i val="0"/>
        <color rgb="FF875295"/>
      </font>
    </dxf>
    <dxf>
      <fill>
        <patternFill>
          <bgColor theme="3" tint="0.39994506668294322"/>
        </patternFill>
      </fill>
    </dxf>
    <dxf>
      <fill>
        <patternFill>
          <bgColor theme="8"/>
        </patternFill>
      </fill>
    </dxf>
    <dxf>
      <fill>
        <patternFill>
          <bgColor rgb="FFFFC000"/>
        </patternFill>
      </fill>
    </dxf>
    <dxf>
      <fill>
        <patternFill>
          <bgColor theme="2"/>
        </patternFill>
      </fill>
    </dxf>
    <dxf>
      <fill>
        <patternFill>
          <bgColor theme="5" tint="0.59996337778862885"/>
        </patternFill>
      </fill>
    </dxf>
    <dxf>
      <fill>
        <patternFill>
          <bgColor theme="7" tint="0.79998168889431442"/>
        </patternFill>
      </fill>
    </dxf>
    <dxf>
      <fill>
        <patternFill>
          <bgColor theme="8" tint="0.79998168889431442"/>
        </patternFill>
      </fill>
    </dxf>
    <dxf>
      <fill>
        <patternFill>
          <bgColor rgb="FFDCC5ED"/>
        </patternFill>
      </fill>
    </dxf>
    <dxf>
      <fill>
        <patternFill>
          <bgColor theme="9" tint="0.79998168889431442"/>
        </patternFill>
      </fill>
    </dxf>
    <dxf>
      <fill>
        <patternFill>
          <bgColor rgb="FFFFB3B3"/>
        </patternFill>
      </fill>
    </dxf>
    <dxf>
      <fill>
        <patternFill>
          <bgColor theme="3" tint="0.39994506668294322"/>
        </patternFill>
      </fill>
    </dxf>
    <dxf>
      <fill>
        <patternFill>
          <bgColor theme="8"/>
        </patternFill>
      </fill>
    </dxf>
    <dxf>
      <fill>
        <patternFill>
          <bgColor rgb="FFFFC000"/>
        </patternFill>
      </fill>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rgb="FF000000"/>
        <name val="Calibri"/>
        <family val="2"/>
        <scheme val="minor"/>
      </font>
      <fill>
        <patternFill patternType="solid">
          <fgColor indexed="64"/>
          <bgColor rgb="FFFFFFFF"/>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theme="1"/>
        </top>
      </border>
    </dxf>
    <dxf>
      <border outline="0">
        <left style="thin">
          <color theme="1"/>
        </left>
        <right style="thin">
          <color theme="1"/>
        </right>
        <top style="thin">
          <color theme="1"/>
        </top>
        <bottom style="thin">
          <color theme="1"/>
        </bottom>
      </border>
    </dxf>
    <dxf>
      <border outline="0">
        <bottom style="thin">
          <color theme="1"/>
        </bottom>
      </border>
    </dxf>
    <dxf>
      <border outline="0">
        <top style="thin">
          <color theme="1"/>
        </top>
      </border>
    </dxf>
    <dxf>
      <border outline="0">
        <left style="thin">
          <color theme="1"/>
        </left>
        <right style="thin">
          <color theme="1"/>
        </right>
        <top style="thin">
          <color theme="1"/>
        </top>
        <bottom style="thin">
          <color theme="1"/>
        </bottom>
      </border>
    </dxf>
    <dxf>
      <border outline="0">
        <bottom style="thin">
          <color theme="1"/>
        </bottom>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style="thin">
          <color theme="0"/>
        </bottom>
        <vertical/>
        <horizontal/>
      </border>
    </dxf>
    <dxf>
      <border outline="0">
        <top style="thin">
          <color theme="0"/>
        </top>
      </border>
    </dxf>
    <dxf>
      <border outline="0">
        <top style="thin">
          <color theme="0"/>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style="thin">
          <color theme="0"/>
        </bottom>
        <vertical/>
        <horizontal/>
      </border>
    </dxf>
    <dxf>
      <border outline="0">
        <top style="thin">
          <color theme="0"/>
        </top>
      </border>
    </dxf>
    <dxf>
      <border outline="0">
        <top style="thin">
          <color theme="0"/>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outline="0">
        <left/>
        <right/>
        <top style="thin">
          <color theme="0"/>
        </top>
        <bottom style="thin">
          <color theme="0"/>
        </bottom>
      </border>
    </dxf>
    <dxf>
      <border outline="0">
        <top style="thin">
          <color theme="0"/>
        </top>
      </border>
    </dxf>
    <dxf>
      <border outline="0">
        <top style="thin">
          <color theme="0"/>
        </top>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style="thin">
          <color theme="0"/>
        </bottom>
        <vertical/>
        <horizontal/>
      </border>
    </dxf>
    <dxf>
      <border outline="0">
        <top style="thin">
          <color theme="0"/>
        </top>
      </border>
    </dxf>
    <dxf>
      <border outline="0">
        <top style="thin">
          <color theme="0"/>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style="thin">
          <color theme="0"/>
        </bottom>
        <vertical/>
        <horizontal/>
      </border>
    </dxf>
    <dxf>
      <border outline="0">
        <top style="thin">
          <color theme="0"/>
        </top>
      </border>
    </dxf>
    <dxf>
      <border outline="0">
        <top style="thin">
          <color theme="0"/>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border outline="0">
        <bottom style="thin">
          <color theme="0"/>
        </bottom>
      </border>
    </dxf>
    <dxf>
      <font>
        <b val="0"/>
        <i val="0"/>
        <strike val="0"/>
        <condense val="0"/>
        <extend val="0"/>
        <outline val="0"/>
        <shadow val="0"/>
        <u val="none"/>
        <vertAlign val="baseline"/>
        <sz val="10"/>
        <color indexed="8"/>
        <name val="Helvetica"/>
        <scheme val="none"/>
      </font>
      <alignment horizontal="general" vertical="top" textRotation="0" wrapText="1" indent="0" justifyLastLine="0" shrinkToFit="0" readingOrder="0"/>
    </dxf>
    <dxf>
      <numFmt numFmtId="0" formatCode="General"/>
      <fill>
        <patternFill patternType="none">
          <fgColor indexed="64"/>
          <bgColor auto="1"/>
        </patternFill>
      </fill>
      <border diagonalUp="0" diagonalDown="0" outline="0">
        <left/>
        <right/>
        <top style="thin">
          <color theme="0"/>
        </top>
        <bottom style="thin">
          <color theme="0"/>
        </bottom>
      </border>
    </dxf>
    <dxf>
      <border outline="0">
        <top style="thin">
          <color theme="0"/>
        </top>
        <bottom style="thin">
          <color theme="0"/>
        </bottom>
      </border>
    </dxf>
    <dxf>
      <fill>
        <patternFill patternType="none">
          <fgColor indexed="64"/>
          <bgColor auto="1"/>
        </patternFill>
      </fill>
    </dxf>
    <dxf>
      <border outline="0">
        <bottom style="thin">
          <color theme="0"/>
        </bottom>
      </border>
    </dxf>
    <dxf>
      <font>
        <b val="0"/>
        <i val="0"/>
        <strike val="0"/>
        <condense val="0"/>
        <extend val="0"/>
        <outline val="0"/>
        <shadow val="0"/>
        <u val="none"/>
        <vertAlign val="baseline"/>
        <sz val="10"/>
        <color indexed="8"/>
        <name val="Helvetica"/>
        <scheme val="none"/>
      </font>
      <alignment horizontal="general" vertical="top" textRotation="0" wrapText="1" indent="0" justifyLastLine="0" shrinkToFit="0" readingOrder="0"/>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19" formatCode="m/d/yyyy"/>
    </dxf>
    <dxf>
      <numFmt numFmtId="0" formatCode="General"/>
    </dxf>
    <dxf>
      <numFmt numFmtId="0" formatCode="General"/>
      <alignment horizontal="general" vertical="bottom" textRotation="0" wrapText="1" indent="0" justifyLastLine="0" shrinkToFit="0" readingOrder="0"/>
    </dxf>
    <dxf>
      <alignment horizontal="left" vertical="center" textRotation="0" wrapText="1" indent="0" justifyLastLine="0" shrinkToFit="0" readingOrder="0"/>
    </dxf>
    <dxf>
      <numFmt numFmtId="0" formatCode="General"/>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fill>
        <patternFill patternType="none">
          <fgColor indexed="64"/>
          <bgColor indexed="65"/>
        </patternFill>
      </fill>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 formatCode="0"/>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theme="4" tint="0.59999389629810485"/>
          <bgColor theme="4" tint="0.59999389629810485"/>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theme="4" tint="0.59999389629810485"/>
          <bgColor theme="4" tint="0.59999389629810485"/>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border outline="0">
        <top style="thin">
          <color theme="0"/>
        </top>
      </border>
    </dxf>
    <dxf>
      <border outline="0">
        <left style="thin">
          <color theme="0"/>
        </left>
        <bottom style="thin">
          <color theme="0"/>
        </bottom>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border diagonalUp="0" diagonalDown="0" outline="0">
        <left style="thin">
          <color theme="0"/>
        </left>
        <right style="thin">
          <color theme="0"/>
        </right>
        <top/>
        <bottom/>
      </border>
    </dxf>
    <dxf>
      <numFmt numFmtId="0" formatCode="General"/>
    </dxf>
    <dxf>
      <numFmt numFmtId="0" formatCode="General"/>
    </dxf>
    <dxf>
      <numFmt numFmtId="0" formatCode="General"/>
    </dxf>
    <dxf>
      <numFmt numFmtId="0" formatCode="General"/>
    </dxf>
    <dxf>
      <numFmt numFmtId="0" formatCode="General"/>
    </dxf>
    <dxf>
      <numFmt numFmtId="35" formatCode="_(* #,##0.00_);_(* \(#,##0.00\);_(* &quot;-&quot;??_);_(@_)"/>
    </dxf>
    <dxf>
      <numFmt numFmtId="13" formatCode="0%"/>
    </dxf>
    <dxf>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center" vertical="center" textRotation="0"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9"/>
      </font>
      <alignment horizontal="left" vertical="center" textRotation="0" wrapText="1" indent="0" justifyLastLine="0" shrinkToFit="0" readingOrder="0"/>
    </dxf>
    <dxf>
      <font>
        <strike val="0"/>
        <outline val="0"/>
        <shadow val="0"/>
        <u val="none"/>
        <vertAlign val="baseline"/>
        <sz val="10"/>
        <color theme="1"/>
        <name val="Calibri"/>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border diagonalUp="0" diagonalDown="0">
        <left/>
        <right style="thin">
          <color indexed="64"/>
        </right>
        <top style="thin">
          <color indexed="64"/>
        </top>
        <bottom style="thin">
          <color indexed="64"/>
        </bottom>
      </border>
    </dxf>
    <dxf>
      <border outline="0">
        <left style="thin">
          <color rgb="FF000000"/>
        </left>
        <bottom style="thin">
          <color rgb="FF000000"/>
        </bottom>
      </border>
    </dxf>
    <dxf>
      <font>
        <b/>
        <i val="0"/>
        <strike val="0"/>
        <condense val="0"/>
        <extend val="0"/>
        <outline val="0"/>
        <shadow val="0"/>
        <u val="none"/>
        <vertAlign val="baseline"/>
        <sz val="11"/>
        <color rgb="FF000000"/>
        <name val="Calibri"/>
        <family val="2"/>
        <scheme val="minor"/>
      </font>
      <numFmt numFmtId="22" formatCode="mmm\-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2" formatCode="mmm\-yy"/>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9" formatCode="m/d/yyyy"/>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numFmt numFmtId="19" formatCode="m/d/yyyy"/>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fill>
        <patternFill patternType="none">
          <fgColor theme="4" tint="0.79998168889431442"/>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fill>
        <patternFill patternType="none">
          <fgColor theme="4" tint="0.79998168889431442"/>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fill>
        <patternFill patternType="none">
          <fgColor theme="4" tint="0.79998168889431442"/>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theme="4" tint="0.79998168889431442"/>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dxf>
    <dxf>
      <font>
        <b/>
        <i val="0"/>
        <strike val="0"/>
        <condense val="0"/>
        <extend val="0"/>
        <outline val="0"/>
        <shadow val="0"/>
        <u val="none"/>
        <vertAlign val="baseline"/>
        <sz val="11"/>
        <color theme="0"/>
        <name val="Calibri"/>
        <scheme val="minor"/>
      </font>
      <fill>
        <patternFill patternType="solid">
          <fgColor theme="4"/>
          <bgColor theme="4"/>
        </patternFill>
      </fill>
      <alignment horizontal="left"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theme="4" tint="0.79998168889431442"/>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minor"/>
      </font>
      <fill>
        <patternFill patternType="none">
          <fgColor theme="4" tint="0.79998168889431442"/>
          <bgColor auto="1"/>
        </patternFill>
      </fill>
      <alignment horizontal="left" vertical="center" textRotation="0" wrapText="1" indent="0" justifyLastLine="0" shrinkToFit="0" readingOrder="0"/>
    </dxf>
    <dxf>
      <font>
        <strike val="0"/>
        <outline val="0"/>
        <shadow val="0"/>
        <u val="none"/>
        <vertAlign val="baseline"/>
        <sz val="11"/>
        <color auto="1"/>
        <name val="Calibri"/>
        <scheme val="minor"/>
      </font>
      <fill>
        <patternFill patternType="none">
          <bgColor auto="1"/>
        </patternFill>
      </fill>
    </dxf>
    <dxf>
      <font>
        <b/>
        <i val="0"/>
        <strike val="0"/>
        <condense val="0"/>
        <extend val="0"/>
        <outline val="0"/>
        <shadow val="0"/>
        <u val="none"/>
        <vertAlign val="baseline"/>
        <sz val="11"/>
        <color theme="0"/>
        <name val="Calibri"/>
        <scheme val="minor"/>
      </font>
      <fill>
        <patternFill patternType="solid">
          <fgColor theme="4"/>
          <bgColor theme="4"/>
        </patternFill>
      </fill>
      <alignment horizontal="left" vertical="center" textRotation="0" wrapText="1" indent="0" justifyLastLine="0" shrinkToFit="0" readingOrder="0"/>
      <border diagonalUp="0" diagonalDown="0" outline="0">
        <left style="thin">
          <color theme="0"/>
        </left>
        <right style="thin">
          <color theme="0"/>
        </right>
        <top/>
        <bottom/>
      </border>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auto="1"/>
        </patternFill>
      </fill>
      <alignment horizontal="left"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auto="1"/>
        </patternFill>
      </fill>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auto="1"/>
        </patternFill>
      </fill>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numFmt numFmtId="1" formatCode="0"/>
    </dxf>
    <dxf>
      <font>
        <b/>
        <i val="0"/>
        <strike val="0"/>
        <condense val="0"/>
        <extend val="0"/>
        <outline val="0"/>
        <shadow val="0"/>
        <u val="none"/>
        <vertAlign val="baseline"/>
        <sz val="12"/>
        <color theme="1"/>
        <name val="Calibri"/>
        <scheme val="minor"/>
      </font>
      <numFmt numFmtId="1" formatCode="0"/>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i val="0"/>
        <strike val="0"/>
        <condense val="0"/>
        <extend val="0"/>
        <outline val="0"/>
        <shadow val="0"/>
        <u val="none"/>
        <vertAlign val="baseline"/>
        <sz val="12"/>
        <color rgb="FF0070C0"/>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rgb="FF0070C0"/>
        <name val="Calibri"/>
        <scheme val="minor"/>
      </font>
      <numFmt numFmtId="0" formatCode="General"/>
      <fill>
        <patternFill patternType="solid">
          <fgColor indexed="64"/>
          <bgColor theme="9"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rgb="FF0070C0"/>
        <name val="Calibri"/>
        <scheme val="minor"/>
      </font>
      <numFmt numFmtId="0" formatCode="General"/>
      <fill>
        <patternFill patternType="solid">
          <fgColor indexed="64"/>
          <bgColor theme="9"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rgb="FF0070C0"/>
        <name val="Calibri"/>
        <scheme val="minor"/>
      </font>
      <numFmt numFmtId="0" formatCode="General"/>
      <fill>
        <patternFill patternType="solid">
          <fgColor indexed="64"/>
          <bgColor theme="9"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i val="0"/>
        <strike val="0"/>
        <condense val="0"/>
        <extend val="0"/>
        <outline val="0"/>
        <shadow val="0"/>
        <u val="none"/>
        <vertAlign val="baseline"/>
        <sz val="12"/>
        <color rgb="FF0070C0"/>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rgb="FF0070C0"/>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rgb="FF0070C0"/>
        <name val="Calibri"/>
        <scheme val="minor"/>
      </font>
      <numFmt numFmtId="0" formatCode="General"/>
      <fill>
        <patternFill patternType="solid">
          <fgColor indexed="64"/>
          <bgColor theme="7"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rgb="FF0070C0"/>
        <name val="Calibri"/>
        <family val="2"/>
        <scheme val="minor"/>
      </font>
      <numFmt numFmtId="0" formatCode="General"/>
      <fill>
        <patternFill patternType="solid">
          <fgColor indexed="64"/>
          <bgColor theme="7"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style="medium">
          <color theme="9" tint="-0.249977111117893"/>
        </right>
        <top/>
        <bottom/>
        <vertical/>
        <horizontal/>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solid">
          <fgColor indexed="64"/>
          <bgColor theme="9"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solid">
          <fgColor indexed="64"/>
          <bgColor theme="9"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solid">
          <fgColor indexed="64"/>
          <bgColor theme="9" tint="0.79998168889431442"/>
        </patternFill>
      </fill>
      <alignment horizontal="center" vertical="center" textRotation="0" wrapText="0" indent="0" justifyLastLine="0" shrinkToFit="0" readingOrder="0"/>
      <border diagonalUp="0" diagonalDown="0">
        <left style="medium">
          <color theme="9" tint="-0.249977111117893"/>
        </left>
        <right/>
        <top/>
        <bottom/>
        <vertical/>
        <horizontal/>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Calibri"/>
        <family val="2"/>
        <scheme val="minor"/>
      </font>
    </dxf>
    <dxf>
      <font>
        <b val="0"/>
        <i val="0"/>
        <strike val="0"/>
        <condense val="0"/>
        <extend val="0"/>
        <outline val="0"/>
        <shadow val="0"/>
        <u val="none"/>
        <vertAlign val="baseline"/>
        <sz val="12"/>
        <color auto="1"/>
        <name val="Calibri"/>
        <scheme val="minor"/>
      </font>
      <numFmt numFmtId="0" formatCode="General"/>
      <fill>
        <patternFill patternType="solid">
          <fgColor indexed="64"/>
          <bgColor theme="7"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1"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0" formatCode="Genera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strike val="0"/>
        <outline val="0"/>
        <shadow val="0"/>
        <u val="none"/>
        <vertAlign val="baseline"/>
        <sz val="12"/>
        <color auto="1"/>
        <name val="Calibri"/>
        <scheme val="minor"/>
      </font>
      <fill>
        <patternFill patternType="none">
          <fgColor indexed="64"/>
          <bgColor auto="1"/>
        </patternFill>
      </fill>
    </dxf>
    <dxf>
      <font>
        <b val="0"/>
        <i val="0"/>
        <strike val="0"/>
        <condense val="0"/>
        <extend val="0"/>
        <outline val="0"/>
        <shadow val="0"/>
        <u val="none"/>
        <vertAlign val="baseline"/>
        <sz val="12"/>
        <color theme="1"/>
        <name val="Calibri"/>
        <scheme val="minor"/>
      </font>
      <fill>
        <patternFill patternType="none">
          <fgColor indexed="64"/>
          <bgColor auto="1"/>
        </patternFill>
      </fill>
    </dxf>
    <dxf>
      <font>
        <b/>
        <i val="0"/>
        <strike val="0"/>
        <condense val="0"/>
        <extend val="0"/>
        <outline val="0"/>
        <shadow val="0"/>
        <u val="none"/>
        <vertAlign val="baseline"/>
        <sz val="12"/>
        <color auto="1"/>
        <name val="Calibri"/>
        <scheme val="minor"/>
      </font>
      <fill>
        <patternFill patternType="solid">
          <fgColor indexed="64"/>
          <bgColor rgb="FF92D050"/>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2" formatCode="0.00"/>
    </dxf>
    <dxf>
      <numFmt numFmtId="2" formatCode="0.00"/>
    </dxf>
    <dxf>
      <numFmt numFmtId="2" formatCode="0.00"/>
    </dxf>
    <dxf>
      <numFmt numFmtId="2" formatCode="0.00"/>
    </dxf>
    <dxf>
      <numFmt numFmtId="2" formatCode="0.00"/>
    </dxf>
    <dxf>
      <numFmt numFmtId="2" formatCode="0.00"/>
    </dxf>
    <dxf>
      <numFmt numFmtId="1" formatCode="0"/>
    </dxf>
    <dxf>
      <numFmt numFmtId="2" formatCode="0.00"/>
    </dxf>
    <dxf>
      <alignment wrapText="1"/>
    </dxf>
    <dxf>
      <numFmt numFmtId="1" formatCode="0"/>
    </dxf>
    <dxf>
      <alignment wrapText="1"/>
    </dxf>
    <dxf>
      <alignment horizontal="center"/>
    </dxf>
    <dxf>
      <alignment wrapText="1"/>
    </dxf>
    <dxf>
      <numFmt numFmtId="2" formatCode="0.00"/>
    </dxf>
    <dxf>
      <numFmt numFmtId="2" formatCode="0.00"/>
    </dxf>
    <dxf>
      <numFmt numFmtId="1" formatCode="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alignment wrapText="1"/>
    </dxf>
    <dxf>
      <numFmt numFmtId="1" formatCode="0"/>
    </dxf>
    <dxf>
      <alignment wrapText="1"/>
    </dxf>
    <dxf>
      <alignment horizontal="center"/>
    </dxf>
    <dxf>
      <alignment wrapText="1"/>
    </dxf>
    <dxf>
      <numFmt numFmtId="1" formatCode="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alignment wrapText="1"/>
    </dxf>
    <dxf>
      <alignment horizontal="center"/>
    </dxf>
    <dxf>
      <alignment wrapText="1"/>
    </dxf>
    <dxf>
      <font>
        <b val="0"/>
        <i val="0"/>
        <strike val="0"/>
        <condense val="0"/>
        <extend val="0"/>
        <outline val="0"/>
        <shadow val="0"/>
        <u val="none"/>
        <vertAlign val="baseline"/>
        <sz val="12"/>
        <color theme="1"/>
        <name val="Calibri"/>
        <family val="2"/>
        <scheme val="minor"/>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rgb="FF000000"/>
        </left>
        <bottom style="thin">
          <color rgb="FF000000"/>
        </bottom>
      </border>
    </dxf>
    <dxf>
      <font>
        <b/>
        <i val="0"/>
        <strike val="0"/>
        <condense val="0"/>
        <extend val="0"/>
        <outline val="0"/>
        <shadow val="0"/>
        <u val="none"/>
        <vertAlign val="baseline"/>
        <sz val="14"/>
        <color rgb="FF00000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22" formatCode="mmm\-yy"/>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0699C"/>
      <color rgb="FFFFFF99"/>
      <color rgb="FFFF9999"/>
      <color rgb="FFFFFF66"/>
      <color rgb="FF66FF3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2.xml"/><Relationship Id="rId18" Type="http://schemas.openxmlformats.org/officeDocument/2006/relationships/worksheet" Target="worksheets/sheet14.xml"/><Relationship Id="rId26"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worksheet" Target="worksheets/sheet17.xml"/><Relationship Id="rId34" Type="http://schemas.openxmlformats.org/officeDocument/2006/relationships/customXml" Target="../customXml/item3.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3.xml"/><Relationship Id="rId25" Type="http://schemas.openxmlformats.org/officeDocument/2006/relationships/worksheet" Target="worksheets/sheet2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hartsheet" Target="chartsheets/sheet4.xml"/><Relationship Id="rId20" Type="http://schemas.openxmlformats.org/officeDocument/2006/relationships/worksheet" Target="worksheets/sheet1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worksheet" Target="worksheets/sheet20.xml"/><Relationship Id="rId32" Type="http://schemas.openxmlformats.org/officeDocument/2006/relationships/customXml" Target="../customXml/item1.xml"/><Relationship Id="rId5" Type="http://schemas.openxmlformats.org/officeDocument/2006/relationships/worksheet" Target="worksheets/sheet4.xml"/><Relationship Id="rId15" Type="http://schemas.openxmlformats.org/officeDocument/2006/relationships/chartsheet" Target="chartsheets/sheet3.xml"/><Relationship Id="rId23" Type="http://schemas.openxmlformats.org/officeDocument/2006/relationships/worksheet" Target="worksheets/sheet19.xml"/><Relationship Id="rId28" Type="http://schemas.openxmlformats.org/officeDocument/2006/relationships/styles" Target="styles.xml"/><Relationship Id="rId10" Type="http://schemas.openxmlformats.org/officeDocument/2006/relationships/worksheet" Target="worksheets/sheet9.xml"/><Relationship Id="rId19" Type="http://schemas.openxmlformats.org/officeDocument/2006/relationships/worksheet" Target="worksheets/sheet15.xml"/><Relationship Id="rId31" Type="http://schemas.openxmlformats.org/officeDocument/2006/relationships/calcChain" Target="calcChain.xml"/><Relationship Id="rId4" Type="http://schemas.openxmlformats.org/officeDocument/2006/relationships/chartsheet" Target="chartsheets/sheet1.xml"/><Relationship Id="rId9" Type="http://schemas.openxmlformats.org/officeDocument/2006/relationships/worksheet" Target="worksheets/sheet8.xml"/><Relationship Id="rId14" Type="http://schemas.openxmlformats.org/officeDocument/2006/relationships/chartsheet" Target="chartsheets/sheet2.xml"/><Relationship Id="rId22" Type="http://schemas.openxmlformats.org/officeDocument/2006/relationships/worksheet" Target="worksheets/sheet18.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7.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[BCU - Risk Register w KRI - Draft - 20240730.xlsx]Pivot - CSP (All)!PivotTable1</c:name>
    <c:fmtId val="18"/>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Risk Score by Security Program</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pivotFmt>
      <c:pivotFmt>
        <c:idx val="1"/>
        <c:spPr>
          <a:solidFill>
            <a:schemeClr val="accent1"/>
          </a:solidFill>
          <a:ln>
            <a:noFill/>
          </a:ln>
          <a:effectLst/>
        </c:spPr>
      </c:pivotFmt>
      <c:pivotFmt>
        <c:idx val="2"/>
        <c:spPr>
          <a:solidFill>
            <a:schemeClr val="accent1"/>
          </a:solidFill>
          <a:ln>
            <a:noFill/>
          </a:ln>
          <a:effectLst/>
        </c:spPr>
      </c:pivotFmt>
      <c:pivotFmt>
        <c:idx val="3"/>
        <c:spPr>
          <a:solidFill>
            <a:schemeClr val="accent1"/>
          </a:solidFill>
          <a:ln w="28575" cap="rnd">
            <a:noFill/>
            <a:round/>
          </a:ln>
          <a:effectLst/>
        </c:spPr>
        <c:marker>
          <c:spPr>
            <a:solidFill>
              <a:schemeClr val="accent2"/>
            </a:solidFill>
            <a:ln w="9525">
              <a:solidFill>
                <a:schemeClr val="accent2"/>
              </a:solidFill>
            </a:ln>
            <a:effectLst/>
          </c:spPr>
        </c:marker>
      </c:pivotFmt>
      <c:pivotFmt>
        <c:idx val="4"/>
        <c:spPr>
          <a:solidFill>
            <a:schemeClr val="accent1"/>
          </a:solidFill>
          <a:ln>
            <a:noFill/>
          </a:ln>
          <a:effectLst/>
        </c:spPr>
      </c:pivotFmt>
      <c:pivotFmt>
        <c:idx val="5"/>
        <c:spPr>
          <a:solidFill>
            <a:schemeClr val="accent1"/>
          </a:solidFill>
          <a:ln w="19050" cap="rnd">
            <a:solidFill>
              <a:schemeClr val="accent3"/>
            </a:solidFill>
            <a:round/>
          </a:ln>
          <a:effectLst/>
        </c:spPr>
      </c:pivotFmt>
      <c:pivotFmt>
        <c:idx val="6"/>
        <c:spPr>
          <a:solidFill>
            <a:schemeClr val="accent1">
              <a:lumMod val="60000"/>
              <a:lumOff val="40000"/>
            </a:schemeClr>
          </a:solidFill>
          <a:ln>
            <a:solidFill>
              <a:schemeClr val="accent1">
                <a:lumMod val="60000"/>
                <a:lumOff val="40000"/>
              </a:schemeClr>
            </a:solidFill>
          </a:ln>
          <a:effectLst/>
        </c:spPr>
      </c:pivotFmt>
      <c:pivotFmt>
        <c:idx val="7"/>
        <c:spPr>
          <a:solidFill>
            <a:schemeClr val="accent1"/>
          </a:solidFill>
          <a:ln w="28575" cap="rnd">
            <a:noFill/>
            <a:round/>
          </a:ln>
          <a:effectLst/>
        </c:spPr>
        <c:marker>
          <c:spPr>
            <a:solidFill>
              <a:schemeClr val="accent2">
                <a:lumMod val="40000"/>
                <a:lumOff val="60000"/>
              </a:schemeClr>
            </a:solidFill>
            <a:ln w="9525">
              <a:solidFill>
                <a:schemeClr val="accent2">
                  <a:lumMod val="40000"/>
                  <a:lumOff val="60000"/>
                </a:schemeClr>
              </a:solidFill>
            </a:ln>
            <a:effectLst/>
          </c:spPr>
        </c:marker>
      </c:pivotFmt>
      <c:pivotFmt>
        <c:idx val="8"/>
        <c:spPr>
          <a:noFill/>
          <a:ln w="19050">
            <a:gradFill flip="none" rotWithShape="1">
              <a:gsLst>
                <a:gs pos="0">
                  <a:schemeClr val="bg1"/>
                </a:gs>
                <a:gs pos="74000">
                  <a:schemeClr val="accent6"/>
                </a:gs>
                <a:gs pos="83000">
                  <a:schemeClr val="accent6"/>
                </a:gs>
                <a:gs pos="100000">
                  <a:schemeClr val="accent6"/>
                </a:gs>
              </a:gsLst>
              <a:lin ang="16200000" scaled="1"/>
              <a:tileRect/>
            </a:gradFill>
          </a:ln>
          <a:effectLst/>
        </c:spPr>
      </c:pivotFmt>
      <c:pivotFmt>
        <c:idx val="9"/>
        <c:spPr>
          <a:solidFill>
            <a:schemeClr val="accent1"/>
          </a:solidFill>
          <a:ln w="28575" cap="rnd">
            <a:noFill/>
            <a:round/>
          </a:ln>
          <a:effectLst/>
        </c:spPr>
        <c:marker>
          <c:spPr>
            <a:noFill/>
            <a:ln w="9525">
              <a:solidFill>
                <a:schemeClr val="accent6"/>
              </a:solidFill>
            </a:ln>
            <a:effectLst/>
          </c:spPr>
        </c:marker>
      </c:pivotFmt>
      <c:pivotFmt>
        <c:idx val="1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ln w="28575" cap="rnd">
            <a:solidFill>
              <a:schemeClr val="accent1">
                <a:lumMod val="60000"/>
                <a:lumOff val="40000"/>
              </a:schemeClr>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ln w="19050" cap="rnd">
            <a:gradFill flip="none" rotWithShape="1">
              <a:gsLst>
                <a:gs pos="0">
                  <a:schemeClr val="bg1"/>
                </a:gs>
                <a:gs pos="74000">
                  <a:schemeClr val="accent6"/>
                </a:gs>
                <a:gs pos="83000">
                  <a:schemeClr val="accent6"/>
                </a:gs>
                <a:gs pos="100000">
                  <a:schemeClr val="accent6"/>
                </a:gs>
              </a:gsLst>
              <a:lin ang="16200000" scaled="1"/>
              <a:tileRect/>
            </a:gra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ln w="19050"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 CSP (All)'!$B$3</c:f>
              <c:strCache>
                <c:ptCount val="1"/>
                <c:pt idx="0">
                  <c:v>Acceptable Risk Level</c:v>
                </c:pt>
              </c:strCache>
            </c:strRef>
          </c:tx>
          <c:spPr>
            <a:solidFill>
              <a:schemeClr val="accent1">
                <a:shade val="47000"/>
              </a:schemeClr>
            </a:solidFill>
            <a:ln>
              <a:noFill/>
            </a:ln>
            <a:effectLst/>
          </c:spPr>
          <c:invertIfNegative val="0"/>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(All)'!$B$4:$B$20</c:f>
              <c:numCache>
                <c:formatCode>0</c:formatCode>
                <c:ptCount val="16"/>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numCache>
            </c:numRef>
          </c:val>
          <c:extLst>
            <c:ext xmlns:c16="http://schemas.microsoft.com/office/drawing/2014/chart" uri="{C3380CC4-5D6E-409C-BE32-E72D297353CC}">
              <c16:uniqueId val="{00000000-9F84-4CA9-B6B9-9D6C998940E0}"/>
            </c:ext>
          </c:extLst>
        </c:ser>
        <c:ser>
          <c:idx val="3"/>
          <c:order val="3"/>
          <c:tx>
            <c:strRef>
              <c:f>'Pivot - CSP (All)'!$E$3</c:f>
              <c:strCache>
                <c:ptCount val="1"/>
                <c:pt idx="0">
                  <c:v>Current Risk Score (Max)</c:v>
                </c:pt>
              </c:strCache>
            </c:strRef>
          </c:tx>
          <c:spPr>
            <a:solidFill>
              <a:schemeClr val="accent1"/>
            </a:solidFill>
            <a:ln>
              <a:noFill/>
            </a:ln>
            <a:effectLst/>
          </c:spPr>
          <c:invertIfNegative val="0"/>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(All)'!$E$4:$E$20</c:f>
              <c:numCache>
                <c:formatCode>0.00</c:formatCode>
                <c:ptCount val="16"/>
                <c:pt idx="0">
                  <c:v>9</c:v>
                </c:pt>
                <c:pt idx="1">
                  <c:v>12</c:v>
                </c:pt>
                <c:pt idx="2">
                  <c:v>8</c:v>
                </c:pt>
                <c:pt idx="3">
                  <c:v>6</c:v>
                </c:pt>
                <c:pt idx="4">
                  <c:v>16</c:v>
                </c:pt>
                <c:pt idx="5">
                  <c:v>4</c:v>
                </c:pt>
                <c:pt idx="6">
                  <c:v>8</c:v>
                </c:pt>
                <c:pt idx="7">
                  <c:v>6</c:v>
                </c:pt>
                <c:pt idx="8">
                  <c:v>12</c:v>
                </c:pt>
                <c:pt idx="9">
                  <c:v>12</c:v>
                </c:pt>
                <c:pt idx="10">
                  <c:v>12</c:v>
                </c:pt>
                <c:pt idx="11">
                  <c:v>12</c:v>
                </c:pt>
                <c:pt idx="12">
                  <c:v>8</c:v>
                </c:pt>
                <c:pt idx="13">
                  <c:v>12</c:v>
                </c:pt>
                <c:pt idx="14">
                  <c:v>6</c:v>
                </c:pt>
                <c:pt idx="15">
                  <c:v>9</c:v>
                </c:pt>
              </c:numCache>
            </c:numRef>
          </c:val>
          <c:extLst>
            <c:ext xmlns:c16="http://schemas.microsoft.com/office/drawing/2014/chart" uri="{C3380CC4-5D6E-409C-BE32-E72D297353CC}">
              <c16:uniqueId val="{00000001-9F84-4CA9-B6B9-9D6C998940E0}"/>
            </c:ext>
          </c:extLst>
        </c:ser>
        <c:ser>
          <c:idx val="5"/>
          <c:order val="5"/>
          <c:tx>
            <c:strRef>
              <c:f>'Pivot - CSP (All)'!$G$3</c:f>
              <c:strCache>
                <c:ptCount val="1"/>
                <c:pt idx="0">
                  <c:v>Target Risk Score (Max)</c:v>
                </c:pt>
              </c:strCache>
            </c:strRef>
          </c:tx>
          <c:spPr>
            <a:solidFill>
              <a:schemeClr val="accent1">
                <a:tint val="65000"/>
              </a:schemeClr>
            </a:solidFill>
            <a:ln>
              <a:noFill/>
            </a:ln>
            <a:effectLst/>
          </c:spPr>
          <c:invertIfNegative val="0"/>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(All)'!$G$4:$G$20</c:f>
              <c:numCache>
                <c:formatCode>0.00</c:formatCode>
                <c:ptCount val="16"/>
                <c:pt idx="0">
                  <c:v>6</c:v>
                </c:pt>
                <c:pt idx="1">
                  <c:v>6</c:v>
                </c:pt>
                <c:pt idx="2">
                  <c:v>8</c:v>
                </c:pt>
                <c:pt idx="3">
                  <c:v>6</c:v>
                </c:pt>
                <c:pt idx="4">
                  <c:v>8</c:v>
                </c:pt>
                <c:pt idx="5">
                  <c:v>4</c:v>
                </c:pt>
                <c:pt idx="6">
                  <c:v>8</c:v>
                </c:pt>
                <c:pt idx="7">
                  <c:v>6</c:v>
                </c:pt>
                <c:pt idx="8">
                  <c:v>8</c:v>
                </c:pt>
                <c:pt idx="9">
                  <c:v>8</c:v>
                </c:pt>
                <c:pt idx="10">
                  <c:v>6</c:v>
                </c:pt>
                <c:pt idx="11">
                  <c:v>8</c:v>
                </c:pt>
                <c:pt idx="12">
                  <c:v>8</c:v>
                </c:pt>
                <c:pt idx="13">
                  <c:v>6</c:v>
                </c:pt>
                <c:pt idx="14">
                  <c:v>6</c:v>
                </c:pt>
                <c:pt idx="15">
                  <c:v>6</c:v>
                </c:pt>
              </c:numCache>
            </c:numRef>
          </c:val>
          <c:extLst>
            <c:ext xmlns:c16="http://schemas.microsoft.com/office/drawing/2014/chart" uri="{C3380CC4-5D6E-409C-BE32-E72D297353CC}">
              <c16:uniqueId val="{00000002-9F84-4CA9-B6B9-9D6C998940E0}"/>
            </c:ext>
          </c:extLst>
        </c:ser>
        <c:dLbls>
          <c:showLegendKey val="0"/>
          <c:showVal val="0"/>
          <c:showCatName val="0"/>
          <c:showSerName val="0"/>
          <c:showPercent val="0"/>
          <c:showBubbleSize val="0"/>
        </c:dLbls>
        <c:gapWidth val="100"/>
        <c:overlap val="100"/>
        <c:axId val="505419064"/>
        <c:axId val="419364248"/>
      </c:barChart>
      <c:lineChart>
        <c:grouping val="standard"/>
        <c:varyColors val="0"/>
        <c:ser>
          <c:idx val="1"/>
          <c:order val="1"/>
          <c:tx>
            <c:strRef>
              <c:f>'Pivot - CSP (All)'!$C$3</c:f>
              <c:strCache>
                <c:ptCount val="1"/>
                <c:pt idx="0">
                  <c:v>Initial Risk Score (Max)</c:v>
                </c:pt>
              </c:strCache>
            </c:strRef>
          </c:tx>
          <c:spPr>
            <a:ln w="19050" cap="rnd">
              <a:solidFill>
                <a:schemeClr val="accent3"/>
              </a:solidFill>
              <a:round/>
            </a:ln>
            <a:effectLst/>
          </c:spPr>
          <c:marker>
            <c:symbol val="none"/>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(All)'!$C$4:$C$20</c:f>
              <c:numCache>
                <c:formatCode>0.00</c:formatCode>
                <c:ptCount val="16"/>
                <c:pt idx="0">
                  <c:v>9</c:v>
                </c:pt>
                <c:pt idx="1">
                  <c:v>12</c:v>
                </c:pt>
                <c:pt idx="2">
                  <c:v>8</c:v>
                </c:pt>
                <c:pt idx="3">
                  <c:v>6</c:v>
                </c:pt>
                <c:pt idx="4">
                  <c:v>16</c:v>
                </c:pt>
                <c:pt idx="5">
                  <c:v>4</c:v>
                </c:pt>
                <c:pt idx="6">
                  <c:v>8</c:v>
                </c:pt>
                <c:pt idx="7">
                  <c:v>6</c:v>
                </c:pt>
                <c:pt idx="8">
                  <c:v>12</c:v>
                </c:pt>
                <c:pt idx="9">
                  <c:v>12</c:v>
                </c:pt>
                <c:pt idx="10">
                  <c:v>12</c:v>
                </c:pt>
                <c:pt idx="11">
                  <c:v>12</c:v>
                </c:pt>
                <c:pt idx="12">
                  <c:v>8</c:v>
                </c:pt>
                <c:pt idx="13">
                  <c:v>12</c:v>
                </c:pt>
                <c:pt idx="14">
                  <c:v>6</c:v>
                </c:pt>
                <c:pt idx="15">
                  <c:v>9</c:v>
                </c:pt>
              </c:numCache>
            </c:numRef>
          </c:val>
          <c:smooth val="0"/>
          <c:extLst>
            <c:ext xmlns:c16="http://schemas.microsoft.com/office/drawing/2014/chart" uri="{C3380CC4-5D6E-409C-BE32-E72D297353CC}">
              <c16:uniqueId val="{00000003-9F84-4CA9-B6B9-9D6C998940E0}"/>
            </c:ext>
          </c:extLst>
        </c:ser>
        <c:ser>
          <c:idx val="2"/>
          <c:order val="2"/>
          <c:tx>
            <c:strRef>
              <c:f>'Pivot - CSP (All)'!$D$3</c:f>
              <c:strCache>
                <c:ptCount val="1"/>
                <c:pt idx="0">
                  <c:v>Initial Risk Score (Avg)</c:v>
                </c:pt>
              </c:strCache>
            </c:strRef>
          </c:tx>
          <c:spPr>
            <a:ln w="28575" cap="rnd">
              <a:solidFill>
                <a:schemeClr val="accent1">
                  <a:shade val="82000"/>
                </a:schemeClr>
              </a:solidFill>
              <a:round/>
            </a:ln>
            <a:effectLst/>
          </c:spPr>
          <c:marker>
            <c:symbol val="none"/>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(All)'!$D$4:$D$20</c:f>
              <c:numCache>
                <c:formatCode>0.00</c:formatCode>
                <c:ptCount val="16"/>
                <c:pt idx="0">
                  <c:v>4.5</c:v>
                </c:pt>
                <c:pt idx="1">
                  <c:v>6.8571428571428568</c:v>
                </c:pt>
                <c:pt idx="2">
                  <c:v>8</c:v>
                </c:pt>
                <c:pt idx="3">
                  <c:v>4.2</c:v>
                </c:pt>
                <c:pt idx="4">
                  <c:v>8.8888888888888893</c:v>
                </c:pt>
                <c:pt idx="5">
                  <c:v>2.25</c:v>
                </c:pt>
                <c:pt idx="6">
                  <c:v>5</c:v>
                </c:pt>
                <c:pt idx="7">
                  <c:v>3.5555555555555554</c:v>
                </c:pt>
                <c:pt idx="8">
                  <c:v>5.1764705882352944</c:v>
                </c:pt>
                <c:pt idx="9">
                  <c:v>5.7241379310344831</c:v>
                </c:pt>
                <c:pt idx="10">
                  <c:v>5</c:v>
                </c:pt>
                <c:pt idx="11">
                  <c:v>7.333333333333333</c:v>
                </c:pt>
                <c:pt idx="12">
                  <c:v>6.666666666666667</c:v>
                </c:pt>
                <c:pt idx="13">
                  <c:v>12</c:v>
                </c:pt>
                <c:pt idx="14">
                  <c:v>4</c:v>
                </c:pt>
                <c:pt idx="15">
                  <c:v>5.6</c:v>
                </c:pt>
              </c:numCache>
            </c:numRef>
          </c:val>
          <c:smooth val="0"/>
          <c:extLst>
            <c:ext xmlns:c16="http://schemas.microsoft.com/office/drawing/2014/chart" uri="{C3380CC4-5D6E-409C-BE32-E72D297353CC}">
              <c16:uniqueId val="{00000004-9F84-4CA9-B6B9-9D6C998940E0}"/>
            </c:ext>
          </c:extLst>
        </c:ser>
        <c:ser>
          <c:idx val="4"/>
          <c:order val="4"/>
          <c:tx>
            <c:strRef>
              <c:f>'Pivot - CSP (All)'!$F$3</c:f>
              <c:strCache>
                <c:ptCount val="1"/>
                <c:pt idx="0">
                  <c:v>Current Risk Score (Avg)</c:v>
                </c:pt>
              </c:strCache>
            </c:strRef>
          </c:tx>
          <c:spPr>
            <a:ln w="19050" cap="rnd">
              <a:gradFill flip="none" rotWithShape="1">
                <a:gsLst>
                  <a:gs pos="0">
                    <a:schemeClr val="bg1"/>
                  </a:gs>
                  <a:gs pos="74000">
                    <a:schemeClr val="accent6"/>
                  </a:gs>
                  <a:gs pos="83000">
                    <a:schemeClr val="accent6"/>
                  </a:gs>
                  <a:gs pos="100000">
                    <a:schemeClr val="accent6"/>
                  </a:gs>
                </a:gsLst>
                <a:lin ang="16200000" scaled="1"/>
                <a:tileRect/>
              </a:gradFill>
              <a:round/>
            </a:ln>
            <a:effectLst/>
          </c:spPr>
          <c:marker>
            <c:symbol val="none"/>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(All)'!$F$4:$F$20</c:f>
              <c:numCache>
                <c:formatCode>0.00</c:formatCode>
                <c:ptCount val="16"/>
                <c:pt idx="0">
                  <c:v>4.5</c:v>
                </c:pt>
                <c:pt idx="1">
                  <c:v>6.8571428571428568</c:v>
                </c:pt>
                <c:pt idx="2">
                  <c:v>8</c:v>
                </c:pt>
                <c:pt idx="3">
                  <c:v>4.2</c:v>
                </c:pt>
                <c:pt idx="4">
                  <c:v>8.8888888888888893</c:v>
                </c:pt>
                <c:pt idx="5">
                  <c:v>2.25</c:v>
                </c:pt>
                <c:pt idx="6">
                  <c:v>5</c:v>
                </c:pt>
                <c:pt idx="7">
                  <c:v>3.5555555555555554</c:v>
                </c:pt>
                <c:pt idx="8">
                  <c:v>5.1764705882352944</c:v>
                </c:pt>
                <c:pt idx="9">
                  <c:v>5.7241379310344831</c:v>
                </c:pt>
                <c:pt idx="10">
                  <c:v>5</c:v>
                </c:pt>
                <c:pt idx="11">
                  <c:v>7.333333333333333</c:v>
                </c:pt>
                <c:pt idx="12">
                  <c:v>6.666666666666667</c:v>
                </c:pt>
                <c:pt idx="13">
                  <c:v>12</c:v>
                </c:pt>
                <c:pt idx="14">
                  <c:v>4</c:v>
                </c:pt>
                <c:pt idx="15">
                  <c:v>5.6</c:v>
                </c:pt>
              </c:numCache>
            </c:numRef>
          </c:val>
          <c:smooth val="0"/>
          <c:extLst>
            <c:ext xmlns:c16="http://schemas.microsoft.com/office/drawing/2014/chart" uri="{C3380CC4-5D6E-409C-BE32-E72D297353CC}">
              <c16:uniqueId val="{00000005-9F84-4CA9-B6B9-9D6C998940E0}"/>
            </c:ext>
          </c:extLst>
        </c:ser>
        <c:ser>
          <c:idx val="6"/>
          <c:order val="6"/>
          <c:tx>
            <c:strRef>
              <c:f>'Pivot - CSP (All)'!$H$3</c:f>
              <c:strCache>
                <c:ptCount val="1"/>
                <c:pt idx="0">
                  <c:v>Target Risk Score (Avg)</c:v>
                </c:pt>
              </c:strCache>
            </c:strRef>
          </c:tx>
          <c:spPr>
            <a:ln w="28575" cap="rnd">
              <a:solidFill>
                <a:schemeClr val="accent1">
                  <a:lumMod val="60000"/>
                  <a:lumOff val="40000"/>
                </a:schemeClr>
              </a:solidFill>
              <a:round/>
            </a:ln>
            <a:effectLst/>
          </c:spPr>
          <c:marker>
            <c:symbol val="none"/>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(All)'!$H$4:$H$20</c:f>
              <c:numCache>
                <c:formatCode>0.00</c:formatCode>
                <c:ptCount val="16"/>
                <c:pt idx="0">
                  <c:v>3.75</c:v>
                </c:pt>
                <c:pt idx="1">
                  <c:v>6</c:v>
                </c:pt>
                <c:pt idx="2">
                  <c:v>8</c:v>
                </c:pt>
                <c:pt idx="3">
                  <c:v>4.2</c:v>
                </c:pt>
                <c:pt idx="4">
                  <c:v>5.333333333333333</c:v>
                </c:pt>
                <c:pt idx="5">
                  <c:v>2.25</c:v>
                </c:pt>
                <c:pt idx="6">
                  <c:v>5</c:v>
                </c:pt>
                <c:pt idx="7">
                  <c:v>3.5555555555555554</c:v>
                </c:pt>
                <c:pt idx="8">
                  <c:v>4.8235294117647056</c:v>
                </c:pt>
                <c:pt idx="9">
                  <c:v>4.7586206896551726</c:v>
                </c:pt>
                <c:pt idx="10">
                  <c:v>4.4000000000000004</c:v>
                </c:pt>
                <c:pt idx="11">
                  <c:v>6.833333333333333</c:v>
                </c:pt>
                <c:pt idx="12">
                  <c:v>6.666666666666667</c:v>
                </c:pt>
                <c:pt idx="13">
                  <c:v>6</c:v>
                </c:pt>
                <c:pt idx="14">
                  <c:v>4</c:v>
                </c:pt>
                <c:pt idx="15">
                  <c:v>5</c:v>
                </c:pt>
              </c:numCache>
            </c:numRef>
          </c:val>
          <c:smooth val="0"/>
          <c:extLst>
            <c:ext xmlns:c16="http://schemas.microsoft.com/office/drawing/2014/chart" uri="{C3380CC4-5D6E-409C-BE32-E72D297353CC}">
              <c16:uniqueId val="{00000006-9F84-4CA9-B6B9-9D6C998940E0}"/>
            </c:ext>
          </c:extLst>
        </c:ser>
        <c:dLbls>
          <c:showLegendKey val="0"/>
          <c:showVal val="0"/>
          <c:showCatName val="0"/>
          <c:showSerName val="0"/>
          <c:showPercent val="0"/>
          <c:showBubbleSize val="0"/>
        </c:dLbls>
        <c:marker val="1"/>
        <c:smooth val="0"/>
        <c:axId val="505419064"/>
        <c:axId val="419364248"/>
      </c:lineChart>
      <c:catAx>
        <c:axId val="505419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9364248"/>
        <c:crosses val="autoZero"/>
        <c:auto val="1"/>
        <c:lblAlgn val="ctr"/>
        <c:lblOffset val="100"/>
        <c:noMultiLvlLbl val="0"/>
      </c:catAx>
      <c:valAx>
        <c:axId val="419364248"/>
        <c:scaling>
          <c:orientation val="minMax"/>
          <c:max val="2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5419064"/>
        <c:crosses val="autoZero"/>
        <c:crossBetween val="between"/>
      </c:valAx>
      <c:spPr>
        <a:noFill/>
        <a:ln>
          <a:noFill/>
        </a:ln>
        <a:effectLst/>
      </c:spPr>
    </c:plotArea>
    <c:legend>
      <c:legendPos val="t"/>
      <c:legendEntry>
        <c:idx val="4"/>
        <c:delete val="1"/>
      </c:legendEntry>
      <c:legendEntry>
        <c:idx val="5"/>
        <c:delete val="1"/>
      </c:legendEntry>
      <c:legendEntry>
        <c:idx val="6"/>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9618-41B0-B4B1-947A0D55C135}"/>
              </c:ext>
            </c:extLst>
          </c:dPt>
          <c:val>
            <c:numRef>
              <c:f>'KRI Analytics'!$D$54</c:f>
              <c:numCache>
                <c:formatCode>0</c:formatCode>
                <c:ptCount val="1"/>
                <c:pt idx="0">
                  <c:v>9</c:v>
                </c:pt>
              </c:numCache>
            </c:numRef>
          </c:val>
          <c:extLst>
            <c:ext xmlns:c16="http://schemas.microsoft.com/office/drawing/2014/chart" uri="{C3380CC4-5D6E-409C-BE32-E72D297353CC}">
              <c16:uniqueId val="{00000002-9618-41B0-B4B1-947A0D55C135}"/>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9618-41B0-B4B1-947A0D55C135}"/>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9618-41B0-B4B1-947A0D55C135}"/>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Analytics'!$H$22</c:f>
              <c:numCache>
                <c:formatCode>General</c:formatCode>
                <c:ptCount val="1"/>
                <c:pt idx="0">
                  <c:v>7</c:v>
                </c:pt>
              </c:numCache>
            </c:numRef>
          </c:val>
          <c:extLst>
            <c:ext xmlns:c16="http://schemas.microsoft.com/office/drawing/2014/chart" uri="{C3380CC4-5D6E-409C-BE32-E72D297353CC}">
              <c16:uniqueId val="{00000005-9618-41B0-B4B1-947A0D55C135}"/>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9618-41B0-B4B1-947A0D55C135}"/>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9E1C-466A-873B-D56C96F8436C}"/>
              </c:ext>
            </c:extLst>
          </c:dPt>
          <c:val>
            <c:numRef>
              <c:f>'KRI Analytics'!$D$54</c:f>
              <c:numCache>
                <c:formatCode>0</c:formatCode>
                <c:ptCount val="1"/>
                <c:pt idx="0">
                  <c:v>9</c:v>
                </c:pt>
              </c:numCache>
            </c:numRef>
          </c:val>
          <c:extLst>
            <c:ext xmlns:c16="http://schemas.microsoft.com/office/drawing/2014/chart" uri="{C3380CC4-5D6E-409C-BE32-E72D297353CC}">
              <c16:uniqueId val="{00000002-9E1C-466A-873B-D56C96F8436C}"/>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9E1C-466A-873B-D56C96F8436C}"/>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9E1C-466A-873B-D56C96F8436C}"/>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Analytics'!$H$23</c:f>
              <c:numCache>
                <c:formatCode>General</c:formatCode>
                <c:ptCount val="1"/>
                <c:pt idx="0">
                  <c:v>8</c:v>
                </c:pt>
              </c:numCache>
            </c:numRef>
          </c:val>
          <c:extLst>
            <c:ext xmlns:c16="http://schemas.microsoft.com/office/drawing/2014/chart" uri="{C3380CC4-5D6E-409C-BE32-E72D297353CC}">
              <c16:uniqueId val="{00000005-9E1C-466A-873B-D56C96F8436C}"/>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9E1C-466A-873B-D56C96F8436C}"/>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B300-4F85-B1B3-37AB1732B9CF}"/>
              </c:ext>
            </c:extLst>
          </c:dPt>
          <c:val>
            <c:numRef>
              <c:f>'KRI Analytics'!$D$54</c:f>
              <c:numCache>
                <c:formatCode>0</c:formatCode>
                <c:ptCount val="1"/>
                <c:pt idx="0">
                  <c:v>9</c:v>
                </c:pt>
              </c:numCache>
            </c:numRef>
          </c:val>
          <c:extLst>
            <c:ext xmlns:c16="http://schemas.microsoft.com/office/drawing/2014/chart" uri="{C3380CC4-5D6E-409C-BE32-E72D297353CC}">
              <c16:uniqueId val="{00000002-B300-4F85-B1B3-37AB1732B9CF}"/>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B300-4F85-B1B3-37AB1732B9CF}"/>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B300-4F85-B1B3-37AB1732B9CF}"/>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Analytics'!$H$24</c:f>
              <c:numCache>
                <c:formatCode>General</c:formatCode>
                <c:ptCount val="1"/>
                <c:pt idx="0">
                  <c:v>15</c:v>
                </c:pt>
              </c:numCache>
            </c:numRef>
          </c:val>
          <c:extLst>
            <c:ext xmlns:c16="http://schemas.microsoft.com/office/drawing/2014/chart" uri="{C3380CC4-5D6E-409C-BE32-E72D297353CC}">
              <c16:uniqueId val="{00000005-B300-4F85-B1B3-37AB1732B9CF}"/>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B300-4F85-B1B3-37AB1732B9CF}"/>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5100-40D6-9675-66FE0F59E420}"/>
              </c:ext>
            </c:extLst>
          </c:dPt>
          <c:val>
            <c:numRef>
              <c:f>'KRI Analytics'!$D$54</c:f>
              <c:numCache>
                <c:formatCode>0</c:formatCode>
                <c:ptCount val="1"/>
                <c:pt idx="0">
                  <c:v>9</c:v>
                </c:pt>
              </c:numCache>
            </c:numRef>
          </c:val>
          <c:extLst>
            <c:ext xmlns:c16="http://schemas.microsoft.com/office/drawing/2014/chart" uri="{C3380CC4-5D6E-409C-BE32-E72D297353CC}">
              <c16:uniqueId val="{00000002-5100-40D6-9675-66FE0F59E420}"/>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5100-40D6-9675-66FE0F59E420}"/>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5100-40D6-9675-66FE0F59E420}"/>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Analytics'!$H$25</c:f>
              <c:numCache>
                <c:formatCode>General</c:formatCode>
                <c:ptCount val="1"/>
                <c:pt idx="0">
                  <c:v>1</c:v>
                </c:pt>
              </c:numCache>
            </c:numRef>
          </c:val>
          <c:extLst>
            <c:ext xmlns:c16="http://schemas.microsoft.com/office/drawing/2014/chart" uri="{C3380CC4-5D6E-409C-BE32-E72D297353CC}">
              <c16:uniqueId val="{00000005-5100-40D6-9675-66FE0F59E420}"/>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5100-40D6-9675-66FE0F59E420}"/>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685B-4283-91FC-EC0494AA364A}"/>
              </c:ext>
            </c:extLst>
          </c:dPt>
          <c:val>
            <c:numRef>
              <c:f>'KRI Analytics'!$D$54</c:f>
              <c:numCache>
                <c:formatCode>0</c:formatCode>
                <c:ptCount val="1"/>
                <c:pt idx="0">
                  <c:v>9</c:v>
                </c:pt>
              </c:numCache>
            </c:numRef>
          </c:val>
          <c:extLst>
            <c:ext xmlns:c16="http://schemas.microsoft.com/office/drawing/2014/chart" uri="{C3380CC4-5D6E-409C-BE32-E72D297353CC}">
              <c16:uniqueId val="{00000002-685B-4283-91FC-EC0494AA364A}"/>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685B-4283-91FC-EC0494AA364A}"/>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685B-4283-91FC-EC0494AA364A}"/>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Analytics'!$H$26</c:f>
              <c:numCache>
                <c:formatCode>General</c:formatCode>
                <c:ptCount val="1"/>
                <c:pt idx="0">
                  <c:v>15</c:v>
                </c:pt>
              </c:numCache>
            </c:numRef>
          </c:val>
          <c:extLst>
            <c:ext xmlns:c16="http://schemas.microsoft.com/office/drawing/2014/chart" uri="{C3380CC4-5D6E-409C-BE32-E72D297353CC}">
              <c16:uniqueId val="{00000005-685B-4283-91FC-EC0494AA364A}"/>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685B-4283-91FC-EC0494AA364A}"/>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ACF9-4F7F-9436-1A6AB0933321}"/>
              </c:ext>
            </c:extLst>
          </c:dPt>
          <c:val>
            <c:numRef>
              <c:f>'KRI Analytics'!$D$54</c:f>
              <c:numCache>
                <c:formatCode>0</c:formatCode>
                <c:ptCount val="1"/>
                <c:pt idx="0">
                  <c:v>9</c:v>
                </c:pt>
              </c:numCache>
            </c:numRef>
          </c:val>
          <c:extLst>
            <c:ext xmlns:c16="http://schemas.microsoft.com/office/drawing/2014/chart" uri="{C3380CC4-5D6E-409C-BE32-E72D297353CC}">
              <c16:uniqueId val="{00000002-ACF9-4F7F-9436-1A6AB0933321}"/>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ACF9-4F7F-9436-1A6AB0933321}"/>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ACF9-4F7F-9436-1A6AB0933321}"/>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Analytics'!$H$27</c:f>
              <c:numCache>
                <c:formatCode>General</c:formatCode>
                <c:ptCount val="1"/>
                <c:pt idx="0">
                  <c:v>2</c:v>
                </c:pt>
              </c:numCache>
            </c:numRef>
          </c:val>
          <c:extLst>
            <c:ext xmlns:c16="http://schemas.microsoft.com/office/drawing/2014/chart" uri="{C3380CC4-5D6E-409C-BE32-E72D297353CC}">
              <c16:uniqueId val="{00000005-ACF9-4F7F-9436-1A6AB0933321}"/>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ACF9-4F7F-9436-1A6AB0933321}"/>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7DC7-4915-847C-EC9F403FACFB}"/>
              </c:ext>
            </c:extLst>
          </c:dPt>
          <c:val>
            <c:numRef>
              <c:f>'KRI Analytics'!$D$54</c:f>
              <c:numCache>
                <c:formatCode>0</c:formatCode>
                <c:ptCount val="1"/>
                <c:pt idx="0">
                  <c:v>9</c:v>
                </c:pt>
              </c:numCache>
            </c:numRef>
          </c:val>
          <c:extLst>
            <c:ext xmlns:c16="http://schemas.microsoft.com/office/drawing/2014/chart" uri="{C3380CC4-5D6E-409C-BE32-E72D297353CC}">
              <c16:uniqueId val="{00000002-7DC7-4915-847C-EC9F403FACFB}"/>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7DC7-4915-847C-EC9F403FACFB}"/>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7DC7-4915-847C-EC9F403FACFB}"/>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Analytics'!$H$28</c:f>
              <c:numCache>
                <c:formatCode>General</c:formatCode>
                <c:ptCount val="1"/>
                <c:pt idx="0">
                  <c:v>5</c:v>
                </c:pt>
              </c:numCache>
            </c:numRef>
          </c:val>
          <c:extLst>
            <c:ext xmlns:c16="http://schemas.microsoft.com/office/drawing/2014/chart" uri="{C3380CC4-5D6E-409C-BE32-E72D297353CC}">
              <c16:uniqueId val="{00000005-7DC7-4915-847C-EC9F403FACFB}"/>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7DC7-4915-847C-EC9F403FACFB}"/>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7620-4839-8510-1716CB150AAC}"/>
              </c:ext>
            </c:extLst>
          </c:dPt>
          <c:val>
            <c:numRef>
              <c:f>'KRI Analytics'!$D$54</c:f>
              <c:numCache>
                <c:formatCode>0</c:formatCode>
                <c:ptCount val="1"/>
                <c:pt idx="0">
                  <c:v>9</c:v>
                </c:pt>
              </c:numCache>
            </c:numRef>
          </c:val>
          <c:extLst>
            <c:ext xmlns:c16="http://schemas.microsoft.com/office/drawing/2014/chart" uri="{C3380CC4-5D6E-409C-BE32-E72D297353CC}">
              <c16:uniqueId val="{00000002-7620-4839-8510-1716CB150AAC}"/>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7620-4839-8510-1716CB150AAC}"/>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7620-4839-8510-1716CB150AAC}"/>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Analytics'!$H$19</c:f>
              <c:numCache>
                <c:formatCode>General</c:formatCode>
                <c:ptCount val="1"/>
                <c:pt idx="0">
                  <c:v>11</c:v>
                </c:pt>
              </c:numCache>
            </c:numRef>
          </c:val>
          <c:extLst>
            <c:ext xmlns:c16="http://schemas.microsoft.com/office/drawing/2014/chart" uri="{C3380CC4-5D6E-409C-BE32-E72D297353CC}">
              <c16:uniqueId val="{00000005-7620-4839-8510-1716CB150AAC}"/>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7620-4839-8510-1716CB150AAC}"/>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5ED1-465F-A066-470B486AE01F}"/>
              </c:ext>
            </c:extLst>
          </c:dPt>
          <c:val>
            <c:numRef>
              <c:f>'KRI Analytics'!$D$54</c:f>
              <c:numCache>
                <c:formatCode>0</c:formatCode>
                <c:ptCount val="1"/>
                <c:pt idx="0">
                  <c:v>9</c:v>
                </c:pt>
              </c:numCache>
            </c:numRef>
          </c:val>
          <c:extLst>
            <c:ext xmlns:c16="http://schemas.microsoft.com/office/drawing/2014/chart" uri="{C3380CC4-5D6E-409C-BE32-E72D297353CC}">
              <c16:uniqueId val="{00000002-5ED1-465F-A066-470B486AE01F}"/>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5ED1-465F-A066-470B486AE01F}"/>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5ED1-465F-A066-470B486AE01F}"/>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Analytics'!$H$20</c:f>
              <c:numCache>
                <c:formatCode>General</c:formatCode>
                <c:ptCount val="1"/>
                <c:pt idx="0">
                  <c:v>29</c:v>
                </c:pt>
              </c:numCache>
            </c:numRef>
          </c:val>
          <c:extLst>
            <c:ext xmlns:c16="http://schemas.microsoft.com/office/drawing/2014/chart" uri="{C3380CC4-5D6E-409C-BE32-E72D297353CC}">
              <c16:uniqueId val="{00000005-5ED1-465F-A066-470B486AE01F}"/>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5ED1-465F-A066-470B486AE01F}"/>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D9A1-4DC0-A888-8E401132CECD}"/>
              </c:ext>
            </c:extLst>
          </c:dPt>
          <c:val>
            <c:numRef>
              <c:f>'KRI Analytics'!$D$54</c:f>
              <c:numCache>
                <c:formatCode>0</c:formatCode>
                <c:ptCount val="1"/>
                <c:pt idx="0">
                  <c:v>9</c:v>
                </c:pt>
              </c:numCache>
            </c:numRef>
          </c:val>
          <c:extLst>
            <c:ext xmlns:c16="http://schemas.microsoft.com/office/drawing/2014/chart" uri="{C3380CC4-5D6E-409C-BE32-E72D297353CC}">
              <c16:uniqueId val="{00000002-D9A1-4DC0-A888-8E401132CECD}"/>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D9A1-4DC0-A888-8E401132CECD}"/>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D9A1-4DC0-A888-8E401132CECD}"/>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Analytics'!$H$21</c:f>
              <c:numCache>
                <c:formatCode>General</c:formatCode>
                <c:ptCount val="1"/>
                <c:pt idx="0">
                  <c:v>5</c:v>
                </c:pt>
              </c:numCache>
            </c:numRef>
          </c:val>
          <c:extLst>
            <c:ext xmlns:c16="http://schemas.microsoft.com/office/drawing/2014/chart" uri="{C3380CC4-5D6E-409C-BE32-E72D297353CC}">
              <c16:uniqueId val="{00000005-D9A1-4DC0-A888-8E401132CECD}"/>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D9A1-4DC0-A888-8E401132CECD}"/>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HIT!$I$3</c:f>
          <c:strCache>
            <c:ptCount val="1"/>
            <c:pt idx="0">
              <c:v>Percent of Incidents in Banks and Credit Unions as of 7/29/2021</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HIT!$D$5</c:f>
              <c:strCache>
                <c:ptCount val="1"/>
                <c:pt idx="0">
                  <c:v>Percentage</c:v>
                </c:pt>
              </c:strCache>
            </c:strRef>
          </c:tx>
          <c:spPr>
            <a:solidFill>
              <a:schemeClr val="accent1">
                <a:tint val="77000"/>
              </a:schemeClr>
            </a:solidFill>
            <a:ln>
              <a:noFill/>
            </a:ln>
            <a:effectLst/>
          </c:spPr>
          <c:invertIfNegative val="0"/>
          <c:cat>
            <c:strRef>
              <c:f>HIT!$B$6:$B$15</c:f>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f>HIT!$D$6:$D$15</c:f>
              <c:numCache>
                <c:formatCode>0%</c:formatCode>
                <c:ptCount val="10"/>
                <c:pt idx="0">
                  <c:v>0.53174603174603174</c:v>
                </c:pt>
                <c:pt idx="1">
                  <c:v>0.44444444444444442</c:v>
                </c:pt>
                <c:pt idx="2">
                  <c:v>0.3968253968253968</c:v>
                </c:pt>
                <c:pt idx="3">
                  <c:v>0.31746031746031744</c:v>
                </c:pt>
                <c:pt idx="4">
                  <c:v>0.25396825396825395</c:v>
                </c:pt>
                <c:pt idx="5">
                  <c:v>0.21428571428571427</c:v>
                </c:pt>
                <c:pt idx="6">
                  <c:v>0.11904761904761904</c:v>
                </c:pt>
                <c:pt idx="7">
                  <c:v>7.1428571428571425E-2</c:v>
                </c:pt>
                <c:pt idx="8">
                  <c:v>6.3492063492063489E-2</c:v>
                </c:pt>
                <c:pt idx="9">
                  <c:v>0</c:v>
                </c:pt>
              </c:numCache>
            </c:numRef>
          </c:val>
          <c:extLst>
            <c:ext xmlns:c16="http://schemas.microsoft.com/office/drawing/2014/chart" uri="{C3380CC4-5D6E-409C-BE32-E72D297353CC}">
              <c16:uniqueId val="{00000000-8DBF-458B-9B22-CBC5D9B53D8A}"/>
            </c:ext>
          </c:extLst>
        </c:ser>
        <c:dLbls>
          <c:showLegendKey val="0"/>
          <c:showVal val="0"/>
          <c:showCatName val="0"/>
          <c:showSerName val="0"/>
          <c:showPercent val="0"/>
          <c:showBubbleSize val="0"/>
        </c:dLbls>
        <c:gapWidth val="150"/>
        <c:axId val="582966136"/>
        <c:axId val="582965480"/>
        <c:extLst>
          <c:ext xmlns:c15="http://schemas.microsoft.com/office/drawing/2012/chart" uri="{02D57815-91ED-43cb-92C2-25804820EDAC}">
            <c15:filteredBarSeries>
              <c15:ser>
                <c:idx val="0"/>
                <c:order val="0"/>
                <c:tx>
                  <c:strRef>
                    <c:extLst>
                      <c:ext uri="{02D57815-91ED-43cb-92C2-25804820EDAC}">
                        <c15:formulaRef>
                          <c15:sqref>HIT!$C$5</c15:sqref>
                        </c15:formulaRef>
                      </c:ext>
                    </c:extLst>
                    <c:strCache>
                      <c:ptCount val="1"/>
                      <c:pt idx="0">
                        <c:v>Number of Incidents</c:v>
                      </c:pt>
                    </c:strCache>
                  </c:strRef>
                </c:tx>
                <c:spPr>
                  <a:solidFill>
                    <a:schemeClr val="accent1">
                      <a:shade val="58000"/>
                    </a:schemeClr>
                  </a:solidFill>
                  <a:ln>
                    <a:noFill/>
                  </a:ln>
                  <a:effectLst/>
                </c:spPr>
                <c:invertIfNegative val="0"/>
                <c:cat>
                  <c:strRef>
                    <c:extLst>
                      <c:ext uri="{02D57815-91ED-43cb-92C2-25804820EDAC}">
                        <c15:formulaRef>
                          <c15:sqref>HIT!$B$6:$B$15</c15:sqref>
                        </c15:formulaRef>
                      </c:ext>
                    </c:extLst>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extLst>
                      <c:ext uri="{02D57815-91ED-43cb-92C2-25804820EDAC}">
                        <c15:formulaRef>
                          <c15:sqref>HIT!$C$6:$C$15</c15:sqref>
                        </c15:formulaRef>
                      </c:ext>
                    </c:extLst>
                    <c:numCache>
                      <c:formatCode>General</c:formatCode>
                      <c:ptCount val="10"/>
                      <c:pt idx="0">
                        <c:v>67</c:v>
                      </c:pt>
                      <c:pt idx="1">
                        <c:v>56</c:v>
                      </c:pt>
                      <c:pt idx="2">
                        <c:v>50</c:v>
                      </c:pt>
                      <c:pt idx="3">
                        <c:v>40</c:v>
                      </c:pt>
                      <c:pt idx="4">
                        <c:v>32</c:v>
                      </c:pt>
                      <c:pt idx="5">
                        <c:v>27</c:v>
                      </c:pt>
                      <c:pt idx="6">
                        <c:v>15</c:v>
                      </c:pt>
                      <c:pt idx="7">
                        <c:v>9</c:v>
                      </c:pt>
                      <c:pt idx="8">
                        <c:v>8</c:v>
                      </c:pt>
                      <c:pt idx="9">
                        <c:v>0</c:v>
                      </c:pt>
                    </c:numCache>
                  </c:numRef>
                </c:val>
                <c:extLst>
                  <c:ext xmlns:c16="http://schemas.microsoft.com/office/drawing/2014/chart" uri="{C3380CC4-5D6E-409C-BE32-E72D297353CC}">
                    <c16:uniqueId val="{00000001-8DBF-458B-9B22-CBC5D9B53D8A}"/>
                  </c:ext>
                </c:extLst>
              </c15:ser>
            </c15:filteredBarSeries>
            <c15:filteredBarSeries>
              <c15:ser>
                <c:idx val="2"/>
                <c:order val="2"/>
                <c:tx>
                  <c:strRef>
                    <c:extLst>
                      <c:ext xmlns:c15="http://schemas.microsoft.com/office/drawing/2012/chart" uri="{02D57815-91ED-43cb-92C2-25804820EDAC}">
                        <c15:formulaRef>
                          <c15:sqref>HIT!$E$5</c15:sqref>
                        </c15:formulaRef>
                      </c:ext>
                    </c:extLst>
                    <c:strCache>
                      <c:ptCount val="1"/>
                      <c:pt idx="0">
                        <c:v>Quintile</c:v>
                      </c:pt>
                    </c:strCache>
                  </c:strRef>
                </c:tx>
                <c:spPr>
                  <a:solidFill>
                    <a:schemeClr val="accent1">
                      <a:tint val="65000"/>
                    </a:schemeClr>
                  </a:solidFill>
                  <a:ln>
                    <a:noFill/>
                  </a:ln>
                  <a:effectLst/>
                </c:spPr>
                <c:invertIfNegative val="0"/>
                <c:cat>
                  <c:strRef>
                    <c:extLst>
                      <c:ext xmlns:c15="http://schemas.microsoft.com/office/drawing/2012/chart" uri="{02D57815-91ED-43cb-92C2-25804820EDAC}">
                        <c15:formulaRef>
                          <c15:sqref>HIT!$B$6:$B$15</c15:sqref>
                        </c15:formulaRef>
                      </c:ext>
                    </c:extLst>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extLst>
                      <c:ext xmlns:c15="http://schemas.microsoft.com/office/drawing/2012/chart" uri="{02D57815-91ED-43cb-92C2-25804820EDAC}">
                        <c15:formulaRef>
                          <c15:sqref>HIT!$E$6:$E$15</c15:sqref>
                        </c15:formulaRef>
                      </c:ext>
                    </c:extLst>
                    <c:numCache>
                      <c:formatCode>_(* #,##0.00_);_(* \(#,##0.00\);_(* "-"??_);_(@_)</c:formatCode>
                      <c:ptCount val="10"/>
                      <c:pt idx="0">
                        <c:v>3</c:v>
                      </c:pt>
                      <c:pt idx="1">
                        <c:v>3</c:v>
                      </c:pt>
                      <c:pt idx="2">
                        <c:v>2</c:v>
                      </c:pt>
                      <c:pt idx="3">
                        <c:v>2</c:v>
                      </c:pt>
                      <c:pt idx="4">
                        <c:v>2</c:v>
                      </c:pt>
                      <c:pt idx="5">
                        <c:v>2</c:v>
                      </c:pt>
                      <c:pt idx="6">
                        <c:v>1</c:v>
                      </c:pt>
                      <c:pt idx="7">
                        <c:v>1</c:v>
                      </c:pt>
                      <c:pt idx="8">
                        <c:v>1</c:v>
                      </c:pt>
                      <c:pt idx="9">
                        <c:v>1</c:v>
                      </c:pt>
                    </c:numCache>
                  </c:numRef>
                </c:val>
                <c:extLst xmlns:c15="http://schemas.microsoft.com/office/drawing/2012/chart">
                  <c:ext xmlns:c16="http://schemas.microsoft.com/office/drawing/2014/chart" uri="{C3380CC4-5D6E-409C-BE32-E72D297353CC}">
                    <c16:uniqueId val="{00000000-1E25-4130-9C7F-68FEA8712D41}"/>
                  </c:ext>
                </c:extLst>
              </c15:ser>
            </c15:filteredBarSeries>
            <c15:filteredBarSeries>
              <c15:ser>
                <c:idx val="3"/>
                <c:order val="3"/>
                <c:tx>
                  <c:strRef>
                    <c:extLst>
                      <c:ext xmlns:c15="http://schemas.microsoft.com/office/drawing/2012/chart" uri="{02D57815-91ED-43cb-92C2-25804820EDAC}">
                        <c15:formulaRef>
                          <c15:sqref>HIT!$F$5</c15:sqref>
                        </c15:formulaRef>
                      </c:ext>
                    </c:extLst>
                    <c:strCache>
                      <c:ptCount val="1"/>
                      <c:pt idx="0">
                        <c:v>Average Risk</c:v>
                      </c:pt>
                    </c:strCache>
                  </c:strRef>
                </c:tx>
                <c:spPr>
                  <a:solidFill>
                    <a:schemeClr val="accent1">
                      <a:tint val="58000"/>
                    </a:schemeClr>
                  </a:solidFill>
                  <a:ln>
                    <a:noFill/>
                  </a:ln>
                  <a:effectLst/>
                </c:spPr>
                <c:invertIfNegative val="0"/>
                <c:cat>
                  <c:strRef>
                    <c:extLst>
                      <c:ext xmlns:c15="http://schemas.microsoft.com/office/drawing/2012/chart" uri="{02D57815-91ED-43cb-92C2-25804820EDAC}">
                        <c15:formulaRef>
                          <c15:sqref>HIT!$B$6:$B$15</c15:sqref>
                        </c15:formulaRef>
                      </c:ext>
                    </c:extLst>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extLst>
                      <c:ext xmlns:c15="http://schemas.microsoft.com/office/drawing/2012/chart" uri="{02D57815-91ED-43cb-92C2-25804820EDAC}">
                        <c15:formulaRef>
                          <c15:sqref>HIT!$F$6:$F$15</c15:sqref>
                        </c15:formulaRef>
                      </c:ext>
                    </c:extLst>
                    <c:numCache>
                      <c:formatCode>_(* #,##0.00_);_(* \(#,##0.00\);_(* "-"??_);_(@_)</c:formatCode>
                      <c:ptCount val="10"/>
                      <c:pt idx="0">
                        <c:v>5.5384615384615383</c:v>
                      </c:pt>
                      <c:pt idx="1">
                        <c:v>0</c:v>
                      </c:pt>
                      <c:pt idx="2">
                        <c:v>6</c:v>
                      </c:pt>
                      <c:pt idx="3">
                        <c:v>5.8181818181818183</c:v>
                      </c:pt>
                      <c:pt idx="4">
                        <c:v>4.4117647058823533</c:v>
                      </c:pt>
                      <c:pt idx="5">
                        <c:v>6.7608695652173916</c:v>
                      </c:pt>
                      <c:pt idx="6">
                        <c:v>2</c:v>
                      </c:pt>
                      <c:pt idx="7">
                        <c:v>4.7894736842105265</c:v>
                      </c:pt>
                      <c:pt idx="8">
                        <c:v>2.5</c:v>
                      </c:pt>
                      <c:pt idx="9">
                        <c:v>3.75</c:v>
                      </c:pt>
                    </c:numCache>
                  </c:numRef>
                </c:val>
                <c:extLst xmlns:c15="http://schemas.microsoft.com/office/drawing/2012/chart">
                  <c:ext xmlns:c16="http://schemas.microsoft.com/office/drawing/2014/chart" uri="{C3380CC4-5D6E-409C-BE32-E72D297353CC}">
                    <c16:uniqueId val="{00000001-9118-4389-9220-7C1DE546A70F}"/>
                  </c:ext>
                </c:extLst>
              </c15:ser>
            </c15:filteredBarSeries>
          </c:ext>
        </c:extLst>
      </c:barChart>
      <c:catAx>
        <c:axId val="58296613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965480"/>
        <c:crosses val="autoZero"/>
        <c:auto val="1"/>
        <c:lblAlgn val="ctr"/>
        <c:lblOffset val="100"/>
        <c:noMultiLvlLbl val="0"/>
      </c:catAx>
      <c:valAx>
        <c:axId val="5829654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966136"/>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E517-4930-A0CD-40BF12811057}"/>
              </c:ext>
            </c:extLst>
          </c:dPt>
          <c:val>
            <c:numRef>
              <c:f>'KRI Analytics'!$D$54</c:f>
              <c:numCache>
                <c:formatCode>0</c:formatCode>
                <c:ptCount val="1"/>
                <c:pt idx="0">
                  <c:v>9</c:v>
                </c:pt>
              </c:numCache>
            </c:numRef>
          </c:val>
          <c:extLst>
            <c:ext xmlns:c16="http://schemas.microsoft.com/office/drawing/2014/chart" uri="{C3380CC4-5D6E-409C-BE32-E72D297353CC}">
              <c16:uniqueId val="{00000002-E517-4930-A0CD-40BF12811057}"/>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E517-4930-A0CD-40BF12811057}"/>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E517-4930-A0CD-40BF12811057}"/>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Analytics'!$H$22</c:f>
              <c:numCache>
                <c:formatCode>General</c:formatCode>
                <c:ptCount val="1"/>
                <c:pt idx="0">
                  <c:v>7</c:v>
                </c:pt>
              </c:numCache>
            </c:numRef>
          </c:val>
          <c:extLst>
            <c:ext xmlns:c16="http://schemas.microsoft.com/office/drawing/2014/chart" uri="{C3380CC4-5D6E-409C-BE32-E72D297353CC}">
              <c16:uniqueId val="{00000005-E517-4930-A0CD-40BF12811057}"/>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E517-4930-A0CD-40BF12811057}"/>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73A2-4DDA-BD0E-44A611E573DD}"/>
              </c:ext>
            </c:extLst>
          </c:dPt>
          <c:val>
            <c:numRef>
              <c:f>'KRI Analytics'!$D$54</c:f>
              <c:numCache>
                <c:formatCode>0</c:formatCode>
                <c:ptCount val="1"/>
                <c:pt idx="0">
                  <c:v>9</c:v>
                </c:pt>
              </c:numCache>
            </c:numRef>
          </c:val>
          <c:extLst>
            <c:ext xmlns:c16="http://schemas.microsoft.com/office/drawing/2014/chart" uri="{C3380CC4-5D6E-409C-BE32-E72D297353CC}">
              <c16:uniqueId val="{00000002-73A2-4DDA-BD0E-44A611E573DD}"/>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73A2-4DDA-BD0E-44A611E573DD}"/>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73A2-4DDA-BD0E-44A611E573DD}"/>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Analytics'!$H$23</c:f>
              <c:numCache>
                <c:formatCode>General</c:formatCode>
                <c:ptCount val="1"/>
                <c:pt idx="0">
                  <c:v>8</c:v>
                </c:pt>
              </c:numCache>
            </c:numRef>
          </c:val>
          <c:extLst>
            <c:ext xmlns:c16="http://schemas.microsoft.com/office/drawing/2014/chart" uri="{C3380CC4-5D6E-409C-BE32-E72D297353CC}">
              <c16:uniqueId val="{00000005-73A2-4DDA-BD0E-44A611E573DD}"/>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73A2-4DDA-BD0E-44A611E573DD}"/>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A13D-4BE2-8698-233CFB2FC253}"/>
              </c:ext>
            </c:extLst>
          </c:dPt>
          <c:val>
            <c:numRef>
              <c:f>'KRI Analytics'!$D$54</c:f>
              <c:numCache>
                <c:formatCode>0</c:formatCode>
                <c:ptCount val="1"/>
                <c:pt idx="0">
                  <c:v>9</c:v>
                </c:pt>
              </c:numCache>
            </c:numRef>
          </c:val>
          <c:extLst>
            <c:ext xmlns:c16="http://schemas.microsoft.com/office/drawing/2014/chart" uri="{C3380CC4-5D6E-409C-BE32-E72D297353CC}">
              <c16:uniqueId val="{00000002-A13D-4BE2-8698-233CFB2FC253}"/>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A13D-4BE2-8698-233CFB2FC253}"/>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A13D-4BE2-8698-233CFB2FC253}"/>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Analytics'!$H$24</c:f>
              <c:numCache>
                <c:formatCode>General</c:formatCode>
                <c:ptCount val="1"/>
                <c:pt idx="0">
                  <c:v>15</c:v>
                </c:pt>
              </c:numCache>
            </c:numRef>
          </c:val>
          <c:extLst>
            <c:ext xmlns:c16="http://schemas.microsoft.com/office/drawing/2014/chart" uri="{C3380CC4-5D6E-409C-BE32-E72D297353CC}">
              <c16:uniqueId val="{00000005-A13D-4BE2-8698-233CFB2FC253}"/>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A13D-4BE2-8698-233CFB2FC253}"/>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E79F-473F-BD1B-50289AA6648E}"/>
              </c:ext>
            </c:extLst>
          </c:dPt>
          <c:val>
            <c:numRef>
              <c:f>'KRI Analytics'!$D$54</c:f>
              <c:numCache>
                <c:formatCode>0</c:formatCode>
                <c:ptCount val="1"/>
                <c:pt idx="0">
                  <c:v>9</c:v>
                </c:pt>
              </c:numCache>
            </c:numRef>
          </c:val>
          <c:extLst>
            <c:ext xmlns:c16="http://schemas.microsoft.com/office/drawing/2014/chart" uri="{C3380CC4-5D6E-409C-BE32-E72D297353CC}">
              <c16:uniqueId val="{00000002-E79F-473F-BD1B-50289AA6648E}"/>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E79F-473F-BD1B-50289AA6648E}"/>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E79F-473F-BD1B-50289AA6648E}"/>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Analytics'!$H$25</c:f>
              <c:numCache>
                <c:formatCode>General</c:formatCode>
                <c:ptCount val="1"/>
                <c:pt idx="0">
                  <c:v>1</c:v>
                </c:pt>
              </c:numCache>
            </c:numRef>
          </c:val>
          <c:extLst>
            <c:ext xmlns:c16="http://schemas.microsoft.com/office/drawing/2014/chart" uri="{C3380CC4-5D6E-409C-BE32-E72D297353CC}">
              <c16:uniqueId val="{00000005-E79F-473F-BD1B-50289AA6648E}"/>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E79F-473F-BD1B-50289AA6648E}"/>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3BE4-4E07-9C0B-8D42EF558411}"/>
              </c:ext>
            </c:extLst>
          </c:dPt>
          <c:val>
            <c:numRef>
              <c:f>'KRI Analytics'!$D$54</c:f>
              <c:numCache>
                <c:formatCode>0</c:formatCode>
                <c:ptCount val="1"/>
                <c:pt idx="0">
                  <c:v>9</c:v>
                </c:pt>
              </c:numCache>
            </c:numRef>
          </c:val>
          <c:extLst>
            <c:ext xmlns:c16="http://schemas.microsoft.com/office/drawing/2014/chart" uri="{C3380CC4-5D6E-409C-BE32-E72D297353CC}">
              <c16:uniqueId val="{00000002-3BE4-4E07-9C0B-8D42EF558411}"/>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3BE4-4E07-9C0B-8D42EF558411}"/>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3BE4-4E07-9C0B-8D42EF558411}"/>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Analytics'!$H$26</c:f>
              <c:numCache>
                <c:formatCode>General</c:formatCode>
                <c:ptCount val="1"/>
                <c:pt idx="0">
                  <c:v>15</c:v>
                </c:pt>
              </c:numCache>
            </c:numRef>
          </c:val>
          <c:extLst>
            <c:ext xmlns:c16="http://schemas.microsoft.com/office/drawing/2014/chart" uri="{C3380CC4-5D6E-409C-BE32-E72D297353CC}">
              <c16:uniqueId val="{00000005-3BE4-4E07-9C0B-8D42EF558411}"/>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3BE4-4E07-9C0B-8D42EF558411}"/>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361F-4420-AB24-5FE517FAC1FB}"/>
              </c:ext>
            </c:extLst>
          </c:dPt>
          <c:val>
            <c:numRef>
              <c:f>'KRI Analytics'!$D$54</c:f>
              <c:numCache>
                <c:formatCode>0</c:formatCode>
                <c:ptCount val="1"/>
                <c:pt idx="0">
                  <c:v>9</c:v>
                </c:pt>
              </c:numCache>
            </c:numRef>
          </c:val>
          <c:extLst>
            <c:ext xmlns:c16="http://schemas.microsoft.com/office/drawing/2014/chart" uri="{C3380CC4-5D6E-409C-BE32-E72D297353CC}">
              <c16:uniqueId val="{00000002-361F-4420-AB24-5FE517FAC1FB}"/>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361F-4420-AB24-5FE517FAC1FB}"/>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361F-4420-AB24-5FE517FAC1FB}"/>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Analytics'!$H$27</c:f>
              <c:numCache>
                <c:formatCode>General</c:formatCode>
                <c:ptCount val="1"/>
                <c:pt idx="0">
                  <c:v>2</c:v>
                </c:pt>
              </c:numCache>
            </c:numRef>
          </c:val>
          <c:extLst>
            <c:ext xmlns:c16="http://schemas.microsoft.com/office/drawing/2014/chart" uri="{C3380CC4-5D6E-409C-BE32-E72D297353CC}">
              <c16:uniqueId val="{00000005-361F-4420-AB24-5FE517FAC1FB}"/>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361F-4420-AB24-5FE517FAC1FB}"/>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70AD-4411-AFC4-93F011CEBBF2}"/>
              </c:ext>
            </c:extLst>
          </c:dPt>
          <c:val>
            <c:numRef>
              <c:f>'KRI Analytics'!$D$54</c:f>
              <c:numCache>
                <c:formatCode>0</c:formatCode>
                <c:ptCount val="1"/>
                <c:pt idx="0">
                  <c:v>9</c:v>
                </c:pt>
              </c:numCache>
            </c:numRef>
          </c:val>
          <c:extLst>
            <c:ext xmlns:c16="http://schemas.microsoft.com/office/drawing/2014/chart" uri="{C3380CC4-5D6E-409C-BE32-E72D297353CC}">
              <c16:uniqueId val="{00000002-70AD-4411-AFC4-93F011CEBBF2}"/>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70AD-4411-AFC4-93F011CEBBF2}"/>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70AD-4411-AFC4-93F011CEBBF2}"/>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Analytics'!$H$28</c:f>
              <c:numCache>
                <c:formatCode>General</c:formatCode>
                <c:ptCount val="1"/>
                <c:pt idx="0">
                  <c:v>5</c:v>
                </c:pt>
              </c:numCache>
            </c:numRef>
          </c:val>
          <c:extLst>
            <c:ext xmlns:c16="http://schemas.microsoft.com/office/drawing/2014/chart" uri="{C3380CC4-5D6E-409C-BE32-E72D297353CC}">
              <c16:uniqueId val="{00000005-70AD-4411-AFC4-93F011CEBBF2}"/>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70AD-4411-AFC4-93F011CEBBF2}"/>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What is Our Plan for Getting to Acceptable Risk?</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'KRI Analytics'!$G$7</c:f>
              <c:strCache>
                <c:ptCount val="1"/>
                <c:pt idx="0">
                  <c:v>Planned Max Risk</c:v>
                </c:pt>
              </c:strCache>
            </c:strRef>
          </c:tx>
          <c:spPr>
            <a:ln w="28575" cap="rnd">
              <a:noFill/>
              <a:round/>
            </a:ln>
            <a:effectLst/>
          </c:spPr>
          <c:marker>
            <c:symbol val="circle"/>
            <c:size val="5"/>
            <c:spPr>
              <a:solidFill>
                <a:schemeClr val="accent6"/>
              </a:solidFill>
              <a:ln w="9525">
                <a:solidFill>
                  <a:schemeClr val="accent1"/>
                </a:solidFill>
              </a:ln>
              <a:effectLst/>
            </c:spPr>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Analytics'!$H$7:$T$7</c:f>
              <c:numCache>
                <c:formatCode>General</c:formatCode>
                <c:ptCount val="13"/>
                <c:pt idx="0">
                  <c:v>20</c:v>
                </c:pt>
                <c:pt idx="1">
                  <c:v>20</c:v>
                </c:pt>
                <c:pt idx="2">
                  <c:v>16</c:v>
                </c:pt>
                <c:pt idx="3">
                  <c:v>16</c:v>
                </c:pt>
                <c:pt idx="4">
                  <c:v>16</c:v>
                </c:pt>
                <c:pt idx="5">
                  <c:v>15</c:v>
                </c:pt>
                <c:pt idx="6">
                  <c:v>15</c:v>
                </c:pt>
                <c:pt idx="7">
                  <c:v>15</c:v>
                </c:pt>
                <c:pt idx="8">
                  <c:v>15</c:v>
                </c:pt>
                <c:pt idx="9">
                  <c:v>12</c:v>
                </c:pt>
                <c:pt idx="10">
                  <c:v>12</c:v>
                </c:pt>
                <c:pt idx="11">
                  <c:v>12</c:v>
                </c:pt>
                <c:pt idx="12">
                  <c:v>9</c:v>
                </c:pt>
              </c:numCache>
            </c:numRef>
          </c:val>
          <c:smooth val="0"/>
          <c:extLst>
            <c:ext xmlns:c16="http://schemas.microsoft.com/office/drawing/2014/chart" uri="{C3380CC4-5D6E-409C-BE32-E72D297353CC}">
              <c16:uniqueId val="{00000000-7F1A-4AFE-A346-9AF94FF8DCB2}"/>
            </c:ext>
          </c:extLst>
        </c:ser>
        <c:ser>
          <c:idx val="1"/>
          <c:order val="1"/>
          <c:tx>
            <c:strRef>
              <c:f>'KRI Analytics'!$G$8</c:f>
              <c:strCache>
                <c:ptCount val="1"/>
                <c:pt idx="0">
                  <c:v>Planned Average Risk</c:v>
                </c:pt>
              </c:strCache>
            </c:strRef>
          </c:tx>
          <c:spPr>
            <a:ln w="28575" cap="rnd">
              <a:solidFill>
                <a:schemeClr val="accent6">
                  <a:lumMod val="75000"/>
                </a:schemeClr>
              </a:solidFill>
              <a:round/>
            </a:ln>
            <a:effectLst/>
          </c:spPr>
          <c:marker>
            <c:symbol val="none"/>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Analytics'!$H$8:$T$8</c:f>
              <c:numCache>
                <c:formatCode>General</c:formatCode>
                <c:ptCount val="13"/>
                <c:pt idx="0">
                  <c:v>14.2</c:v>
                </c:pt>
                <c:pt idx="1">
                  <c:v>13.49</c:v>
                </c:pt>
                <c:pt idx="2">
                  <c:v>12.9504</c:v>
                </c:pt>
                <c:pt idx="3">
                  <c:v>12.173376000000001</c:v>
                </c:pt>
                <c:pt idx="4">
                  <c:v>11.442973440000001</c:v>
                </c:pt>
                <c:pt idx="5">
                  <c:v>10.9852545024</c:v>
                </c:pt>
                <c:pt idx="6">
                  <c:v>10.216286687232</c:v>
                </c:pt>
                <c:pt idx="7">
                  <c:v>9.6033094859980803</c:v>
                </c:pt>
                <c:pt idx="8">
                  <c:v>9.3152102014181377</c:v>
                </c:pt>
                <c:pt idx="9">
                  <c:v>8.9426017933614119</c:v>
                </c:pt>
                <c:pt idx="10">
                  <c:v>8.3166196678261137</c:v>
                </c:pt>
                <c:pt idx="11">
                  <c:v>7.9839548811130694</c:v>
                </c:pt>
                <c:pt idx="12">
                  <c:v>7.4250780394351548</c:v>
                </c:pt>
              </c:numCache>
            </c:numRef>
          </c:val>
          <c:smooth val="0"/>
          <c:extLst>
            <c:ext xmlns:c16="http://schemas.microsoft.com/office/drawing/2014/chart" uri="{C3380CC4-5D6E-409C-BE32-E72D297353CC}">
              <c16:uniqueId val="{00000001-7F1A-4AFE-A346-9AF94FF8DCB2}"/>
            </c:ext>
          </c:extLst>
        </c:ser>
        <c:ser>
          <c:idx val="4"/>
          <c:order val="2"/>
          <c:tx>
            <c:strRef>
              <c:f>'KRI Analytics'!$G$11</c:f>
              <c:strCache>
                <c:ptCount val="1"/>
                <c:pt idx="0">
                  <c:v>Acceptable Risk</c:v>
                </c:pt>
              </c:strCache>
            </c:strRef>
          </c:tx>
          <c:spPr>
            <a:ln w="28575" cap="rnd">
              <a:solidFill>
                <a:srgbClr val="00B050"/>
              </a:solidFill>
              <a:round/>
            </a:ln>
            <a:effectLst/>
          </c:spPr>
          <c:marker>
            <c:symbol val="none"/>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Analytics'!$H$11:$T$11</c:f>
              <c:numCache>
                <c:formatCode>General</c:formatCode>
                <c:ptCount val="13"/>
                <c:pt idx="0">
                  <c:v>9</c:v>
                </c:pt>
                <c:pt idx="1">
                  <c:v>9</c:v>
                </c:pt>
                <c:pt idx="2">
                  <c:v>9</c:v>
                </c:pt>
                <c:pt idx="3">
                  <c:v>9</c:v>
                </c:pt>
                <c:pt idx="4">
                  <c:v>9</c:v>
                </c:pt>
                <c:pt idx="5">
                  <c:v>9</c:v>
                </c:pt>
                <c:pt idx="6">
                  <c:v>9</c:v>
                </c:pt>
                <c:pt idx="7">
                  <c:v>9</c:v>
                </c:pt>
                <c:pt idx="8">
                  <c:v>9</c:v>
                </c:pt>
                <c:pt idx="9">
                  <c:v>9</c:v>
                </c:pt>
                <c:pt idx="10">
                  <c:v>9</c:v>
                </c:pt>
                <c:pt idx="11">
                  <c:v>9</c:v>
                </c:pt>
                <c:pt idx="12">
                  <c:v>9</c:v>
                </c:pt>
              </c:numCache>
            </c:numRef>
          </c:val>
          <c:smooth val="0"/>
          <c:extLst>
            <c:ext xmlns:c16="http://schemas.microsoft.com/office/drawing/2014/chart" uri="{C3380CC4-5D6E-409C-BE32-E72D297353CC}">
              <c16:uniqueId val="{00000004-7F1A-4AFE-A346-9AF94FF8DCB2}"/>
            </c:ext>
          </c:extLst>
        </c:ser>
        <c:dLbls>
          <c:showLegendKey val="0"/>
          <c:showVal val="0"/>
          <c:showCatName val="0"/>
          <c:showSerName val="0"/>
          <c:showPercent val="0"/>
          <c:showBubbleSize val="0"/>
        </c:dLbls>
        <c:marker val="1"/>
        <c:smooth val="0"/>
        <c:axId val="2081517647"/>
        <c:axId val="2081519727"/>
      </c:lineChart>
      <c:dateAx>
        <c:axId val="2081517647"/>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9727"/>
        <c:crosses val="autoZero"/>
        <c:auto val="1"/>
        <c:lblOffset val="100"/>
        <c:baseTimeUnit val="months"/>
        <c:majorUnit val="3"/>
        <c:majorTimeUnit val="months"/>
        <c:minorUnit val="3"/>
        <c:minorTimeUnit val="months"/>
      </c:dateAx>
      <c:valAx>
        <c:axId val="2081519727"/>
        <c:scaling>
          <c:orientation val="minMax"/>
          <c:max val="2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76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How</a:t>
            </a:r>
            <a:r>
              <a:rPr lang="en-US" sz="1800" b="1" baseline="0"/>
              <a:t> Well Are We Reducing Risk vs. Our Plan?</a:t>
            </a:r>
            <a:endParaRPr lang="en-US" sz="1800" b="1"/>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3"/>
          <c:order val="3"/>
          <c:tx>
            <c:strRef>
              <c:f>'KRI Analytics'!$G$10</c:f>
              <c:strCache>
                <c:ptCount val="1"/>
                <c:pt idx="0">
                  <c:v>Current Average Risk</c:v>
                </c:pt>
              </c:strCache>
            </c:strRef>
          </c:tx>
          <c:spPr>
            <a:solidFill>
              <a:schemeClr val="accent1">
                <a:lumMod val="40000"/>
                <a:lumOff val="60000"/>
              </a:schemeClr>
            </a:solidFill>
            <a:ln>
              <a:solidFill>
                <a:schemeClr val="accent1"/>
              </a:solidFill>
            </a:ln>
            <a:effectLst/>
          </c:spPr>
          <c:invertIfNegative val="0"/>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Analytics'!$H$10:$T$10</c:f>
              <c:numCache>
                <c:formatCode>General</c:formatCode>
                <c:ptCount val="13"/>
                <c:pt idx="0">
                  <c:v>14.2</c:v>
                </c:pt>
                <c:pt idx="1">
                  <c:v>13.49</c:v>
                </c:pt>
                <c:pt idx="2">
                  <c:v>13.1</c:v>
                </c:pt>
                <c:pt idx="3">
                  <c:v>12.2</c:v>
                </c:pt>
                <c:pt idx="4">
                  <c:v>11.4</c:v>
                </c:pt>
                <c:pt idx="5">
                  <c:v>10.8</c:v>
                </c:pt>
                <c:pt idx="6">
                  <c:v>10.8</c:v>
                </c:pt>
                <c:pt idx="7">
                  <c:v>10.199999999999999</c:v>
                </c:pt>
                <c:pt idx="8">
                  <c:v>9.8495575221238933</c:v>
                </c:pt>
              </c:numCache>
            </c:numRef>
          </c:val>
          <c:extLst>
            <c:ext xmlns:c16="http://schemas.microsoft.com/office/drawing/2014/chart" uri="{C3380CC4-5D6E-409C-BE32-E72D297353CC}">
              <c16:uniqueId val="{00000003-208F-4ECE-AAFB-D297340AF417}"/>
            </c:ext>
          </c:extLst>
        </c:ser>
        <c:dLbls>
          <c:showLegendKey val="0"/>
          <c:showVal val="0"/>
          <c:showCatName val="0"/>
          <c:showSerName val="0"/>
          <c:showPercent val="0"/>
          <c:showBubbleSize val="0"/>
        </c:dLbls>
        <c:gapWidth val="50"/>
        <c:axId val="2081517647"/>
        <c:axId val="2081519727"/>
      </c:barChart>
      <c:lineChart>
        <c:grouping val="standard"/>
        <c:varyColors val="0"/>
        <c:ser>
          <c:idx val="0"/>
          <c:order val="0"/>
          <c:tx>
            <c:strRef>
              <c:f>'KRI Analytics'!$G$7</c:f>
              <c:strCache>
                <c:ptCount val="1"/>
                <c:pt idx="0">
                  <c:v>Planned Max Risk</c:v>
                </c:pt>
              </c:strCache>
            </c:strRef>
          </c:tx>
          <c:spPr>
            <a:ln w="28575" cap="rnd">
              <a:noFill/>
              <a:round/>
            </a:ln>
            <a:effectLst/>
          </c:spPr>
          <c:marker>
            <c:symbol val="circle"/>
            <c:size val="5"/>
            <c:spPr>
              <a:solidFill>
                <a:schemeClr val="accent6"/>
              </a:solidFill>
              <a:ln w="9525">
                <a:solidFill>
                  <a:schemeClr val="accent1"/>
                </a:solidFill>
              </a:ln>
              <a:effectLst/>
            </c:spPr>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Analytics'!$H$7:$T$7</c:f>
              <c:numCache>
                <c:formatCode>General</c:formatCode>
                <c:ptCount val="13"/>
                <c:pt idx="0">
                  <c:v>20</c:v>
                </c:pt>
                <c:pt idx="1">
                  <c:v>20</c:v>
                </c:pt>
                <c:pt idx="2">
                  <c:v>16</c:v>
                </c:pt>
                <c:pt idx="3">
                  <c:v>16</c:v>
                </c:pt>
                <c:pt idx="4">
                  <c:v>16</c:v>
                </c:pt>
                <c:pt idx="5">
                  <c:v>15</c:v>
                </c:pt>
                <c:pt idx="6">
                  <c:v>15</c:v>
                </c:pt>
                <c:pt idx="7">
                  <c:v>15</c:v>
                </c:pt>
                <c:pt idx="8">
                  <c:v>15</c:v>
                </c:pt>
                <c:pt idx="9">
                  <c:v>12</c:v>
                </c:pt>
                <c:pt idx="10">
                  <c:v>12</c:v>
                </c:pt>
                <c:pt idx="11">
                  <c:v>12</c:v>
                </c:pt>
                <c:pt idx="12">
                  <c:v>9</c:v>
                </c:pt>
              </c:numCache>
            </c:numRef>
          </c:val>
          <c:smooth val="0"/>
          <c:extLst>
            <c:ext xmlns:c16="http://schemas.microsoft.com/office/drawing/2014/chart" uri="{C3380CC4-5D6E-409C-BE32-E72D297353CC}">
              <c16:uniqueId val="{00000000-208F-4ECE-AAFB-D297340AF417}"/>
            </c:ext>
          </c:extLst>
        </c:ser>
        <c:ser>
          <c:idx val="1"/>
          <c:order val="1"/>
          <c:tx>
            <c:strRef>
              <c:f>'KRI Analytics'!$G$8</c:f>
              <c:strCache>
                <c:ptCount val="1"/>
                <c:pt idx="0">
                  <c:v>Planned Average Risk</c:v>
                </c:pt>
              </c:strCache>
            </c:strRef>
          </c:tx>
          <c:spPr>
            <a:ln w="28575" cap="rnd">
              <a:solidFill>
                <a:schemeClr val="accent6">
                  <a:lumMod val="75000"/>
                </a:schemeClr>
              </a:solidFill>
              <a:round/>
            </a:ln>
            <a:effectLst/>
          </c:spPr>
          <c:marker>
            <c:symbol val="none"/>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Analytics'!$H$8:$T$8</c:f>
              <c:numCache>
                <c:formatCode>General</c:formatCode>
                <c:ptCount val="13"/>
                <c:pt idx="0">
                  <c:v>14.2</c:v>
                </c:pt>
                <c:pt idx="1">
                  <c:v>13.49</c:v>
                </c:pt>
                <c:pt idx="2">
                  <c:v>12.9504</c:v>
                </c:pt>
                <c:pt idx="3">
                  <c:v>12.173376000000001</c:v>
                </c:pt>
                <c:pt idx="4">
                  <c:v>11.442973440000001</c:v>
                </c:pt>
                <c:pt idx="5">
                  <c:v>10.9852545024</c:v>
                </c:pt>
                <c:pt idx="6">
                  <c:v>10.216286687232</c:v>
                </c:pt>
                <c:pt idx="7">
                  <c:v>9.6033094859980803</c:v>
                </c:pt>
                <c:pt idx="8">
                  <c:v>9.3152102014181377</c:v>
                </c:pt>
                <c:pt idx="9">
                  <c:v>8.9426017933614119</c:v>
                </c:pt>
                <c:pt idx="10">
                  <c:v>8.3166196678261137</c:v>
                </c:pt>
                <c:pt idx="11">
                  <c:v>7.9839548811130694</c:v>
                </c:pt>
                <c:pt idx="12">
                  <c:v>7.4250780394351548</c:v>
                </c:pt>
              </c:numCache>
            </c:numRef>
          </c:val>
          <c:smooth val="0"/>
          <c:extLst>
            <c:ext xmlns:c16="http://schemas.microsoft.com/office/drawing/2014/chart" uri="{C3380CC4-5D6E-409C-BE32-E72D297353CC}">
              <c16:uniqueId val="{00000001-208F-4ECE-AAFB-D297340AF417}"/>
            </c:ext>
          </c:extLst>
        </c:ser>
        <c:ser>
          <c:idx val="2"/>
          <c:order val="2"/>
          <c:tx>
            <c:strRef>
              <c:f>'KRI Analytics'!$G$9</c:f>
              <c:strCache>
                <c:ptCount val="1"/>
                <c:pt idx="0">
                  <c:v>Current Max Risk</c:v>
                </c:pt>
              </c:strCache>
            </c:strRef>
          </c:tx>
          <c:spPr>
            <a:ln w="28575" cap="rnd">
              <a:noFill/>
              <a:round/>
            </a:ln>
            <a:effectLst/>
          </c:spPr>
          <c:marker>
            <c:symbol val="square"/>
            <c:size val="6"/>
            <c:spPr>
              <a:solidFill>
                <a:schemeClr val="accent1"/>
              </a:solidFill>
              <a:ln w="9525">
                <a:solidFill>
                  <a:schemeClr val="accent3"/>
                </a:solidFill>
              </a:ln>
              <a:effectLst/>
            </c:spPr>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Analytics'!$H$9:$T$9</c:f>
              <c:numCache>
                <c:formatCode>General</c:formatCode>
                <c:ptCount val="13"/>
                <c:pt idx="0">
                  <c:v>20</c:v>
                </c:pt>
                <c:pt idx="1">
                  <c:v>20</c:v>
                </c:pt>
                <c:pt idx="2">
                  <c:v>20</c:v>
                </c:pt>
                <c:pt idx="3">
                  <c:v>16</c:v>
                </c:pt>
                <c:pt idx="4">
                  <c:v>16</c:v>
                </c:pt>
                <c:pt idx="5">
                  <c:v>16</c:v>
                </c:pt>
                <c:pt idx="6">
                  <c:v>16</c:v>
                </c:pt>
                <c:pt idx="7">
                  <c:v>16</c:v>
                </c:pt>
                <c:pt idx="8">
                  <c:v>15</c:v>
                </c:pt>
              </c:numCache>
            </c:numRef>
          </c:val>
          <c:smooth val="0"/>
          <c:extLst>
            <c:ext xmlns:c16="http://schemas.microsoft.com/office/drawing/2014/chart" uri="{C3380CC4-5D6E-409C-BE32-E72D297353CC}">
              <c16:uniqueId val="{00000002-208F-4ECE-AAFB-D297340AF417}"/>
            </c:ext>
          </c:extLst>
        </c:ser>
        <c:ser>
          <c:idx val="4"/>
          <c:order val="4"/>
          <c:tx>
            <c:strRef>
              <c:f>'KRI Analytics'!$G$11</c:f>
              <c:strCache>
                <c:ptCount val="1"/>
                <c:pt idx="0">
                  <c:v>Acceptable Risk</c:v>
                </c:pt>
              </c:strCache>
            </c:strRef>
          </c:tx>
          <c:spPr>
            <a:ln w="28575" cap="rnd">
              <a:solidFill>
                <a:srgbClr val="00B050"/>
              </a:solidFill>
              <a:round/>
            </a:ln>
            <a:effectLst/>
          </c:spPr>
          <c:marker>
            <c:symbol val="none"/>
          </c:marker>
          <c:cat>
            <c:numRef>
              <c:f>'KRI Analytics'!$H$6:$T$6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Analytics'!$H$11:$T$11</c:f>
              <c:numCache>
                <c:formatCode>General</c:formatCode>
                <c:ptCount val="13"/>
                <c:pt idx="0">
                  <c:v>9</c:v>
                </c:pt>
                <c:pt idx="1">
                  <c:v>9</c:v>
                </c:pt>
                <c:pt idx="2">
                  <c:v>9</c:v>
                </c:pt>
                <c:pt idx="3">
                  <c:v>9</c:v>
                </c:pt>
                <c:pt idx="4">
                  <c:v>9</c:v>
                </c:pt>
                <c:pt idx="5">
                  <c:v>9</c:v>
                </c:pt>
                <c:pt idx="6">
                  <c:v>9</c:v>
                </c:pt>
                <c:pt idx="7">
                  <c:v>9</c:v>
                </c:pt>
                <c:pt idx="8">
                  <c:v>9</c:v>
                </c:pt>
                <c:pt idx="9">
                  <c:v>9</c:v>
                </c:pt>
                <c:pt idx="10">
                  <c:v>9</c:v>
                </c:pt>
                <c:pt idx="11">
                  <c:v>9</c:v>
                </c:pt>
                <c:pt idx="12">
                  <c:v>9</c:v>
                </c:pt>
              </c:numCache>
            </c:numRef>
          </c:val>
          <c:smooth val="0"/>
          <c:extLst>
            <c:ext xmlns:c16="http://schemas.microsoft.com/office/drawing/2014/chart" uri="{C3380CC4-5D6E-409C-BE32-E72D297353CC}">
              <c16:uniqueId val="{00000004-208F-4ECE-AAFB-D297340AF417}"/>
            </c:ext>
          </c:extLst>
        </c:ser>
        <c:dLbls>
          <c:showLegendKey val="0"/>
          <c:showVal val="0"/>
          <c:showCatName val="0"/>
          <c:showSerName val="0"/>
          <c:showPercent val="0"/>
          <c:showBubbleSize val="0"/>
        </c:dLbls>
        <c:marker val="1"/>
        <c:smooth val="0"/>
        <c:axId val="2081517647"/>
        <c:axId val="2081519727"/>
      </c:lineChart>
      <c:dateAx>
        <c:axId val="2081517647"/>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9727"/>
        <c:crosses val="autoZero"/>
        <c:auto val="1"/>
        <c:lblOffset val="100"/>
        <c:baseTimeUnit val="months"/>
        <c:majorUnit val="3"/>
        <c:majorTimeUnit val="months"/>
        <c:minorUnit val="3"/>
        <c:minorTimeUnit val="months"/>
      </c:dateAx>
      <c:valAx>
        <c:axId val="2081519727"/>
        <c:scaling>
          <c:orientation val="minMax"/>
          <c:max val="2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76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What</a:t>
            </a:r>
            <a:r>
              <a:rPr lang="en-US" sz="1800" b="1" baseline="0"/>
              <a:t> Projects are planned for remediation</a:t>
            </a:r>
            <a:r>
              <a:rPr lang="en-US" sz="1800" b="1"/>
              <a:t>?</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'KRI Analytics'!$G$37</c:f>
              <c:strCache>
                <c:ptCount val="1"/>
                <c:pt idx="0">
                  <c:v>Planned Project Starts</c:v>
                </c:pt>
              </c:strCache>
            </c:strRef>
          </c:tx>
          <c:spPr>
            <a:solidFill>
              <a:schemeClr val="accent1"/>
            </a:solidFill>
            <a:ln>
              <a:noFill/>
            </a:ln>
            <a:effectLst/>
          </c:spPr>
          <c:invertIfNegative val="0"/>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Analytics'!$H$37:$T$37</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E209-4FB0-AC2F-84FF8429E710}"/>
            </c:ext>
          </c:extLst>
        </c:ser>
        <c:ser>
          <c:idx val="1"/>
          <c:order val="1"/>
          <c:tx>
            <c:strRef>
              <c:f>'KRI Analytics'!$G$38</c:f>
              <c:strCache>
                <c:ptCount val="1"/>
                <c:pt idx="0">
                  <c:v>Planned Project End</c:v>
                </c:pt>
              </c:strCache>
            </c:strRef>
          </c:tx>
          <c:spPr>
            <a:solidFill>
              <a:schemeClr val="accent2"/>
            </a:solidFill>
            <a:ln>
              <a:solidFill>
                <a:schemeClr val="accent6">
                  <a:lumMod val="75000"/>
                </a:schemeClr>
              </a:solidFill>
            </a:ln>
            <a:effectLst/>
          </c:spPr>
          <c:invertIfNegative val="0"/>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Analytics'!$H$38:$T$38</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E209-4FB0-AC2F-84FF8429E710}"/>
            </c:ext>
          </c:extLst>
        </c:ser>
        <c:dLbls>
          <c:showLegendKey val="0"/>
          <c:showVal val="0"/>
          <c:showCatName val="0"/>
          <c:showSerName val="0"/>
          <c:showPercent val="0"/>
          <c:showBubbleSize val="0"/>
        </c:dLbls>
        <c:gapWidth val="150"/>
        <c:axId val="2081517647"/>
        <c:axId val="2081519727"/>
        <c:extLst>
          <c:ext xmlns:c15="http://schemas.microsoft.com/office/drawing/2012/chart" uri="{02D57815-91ED-43cb-92C2-25804820EDAC}">
            <c15:filteredBarSeries>
              <c15:ser>
                <c:idx val="3"/>
                <c:order val="3"/>
                <c:tx>
                  <c:strRef>
                    <c:extLst>
                      <c:ext uri="{02D57815-91ED-43cb-92C2-25804820EDAC}">
                        <c15:formulaRef>
                          <c15:sqref>'KRI Analytics'!$G$40</c15:sqref>
                        </c15:formulaRef>
                      </c:ext>
                    </c:extLst>
                    <c:strCache>
                      <c:ptCount val="1"/>
                      <c:pt idx="0">
                        <c:v>Projects Completed</c:v>
                      </c:pt>
                    </c:strCache>
                  </c:strRef>
                </c:tx>
                <c:spPr>
                  <a:solidFill>
                    <a:schemeClr val="accent4"/>
                  </a:solidFill>
                  <a:ln>
                    <a:noFill/>
                  </a:ln>
                  <a:effectLst/>
                </c:spPr>
                <c:invertIfNegative val="0"/>
                <c:cat>
                  <c:numRef>
                    <c:extLst>
                      <c:ext uri="{02D57815-91ED-43cb-92C2-25804820EDAC}">
                        <c15:formulaRef>
                          <c15:sqref>'KRI Analytics'!$H$36:$T$36</c15:sqref>
                        </c15:formulaRef>
                      </c:ext>
                    </c:extLst>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extLst>
                      <c:ext uri="{02D57815-91ED-43cb-92C2-25804820EDAC}">
                        <c15:formulaRef>
                          <c15:sqref>'KRI Analytics'!$H$40:$T$40</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E209-4FB0-AC2F-84FF8429E71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'KRI Analytics'!$G$41</c15:sqref>
                        </c15:formulaRef>
                      </c:ext>
                    </c:extLst>
                    <c:strCache>
                      <c:ptCount val="1"/>
                      <c:pt idx="0">
                        <c:v>Projects In Progress</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'KRI Analytics'!$H$36:$T$36</c15:sqref>
                        </c15:formulaRef>
                      </c:ext>
                    </c:extLst>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extLst xmlns:c15="http://schemas.microsoft.com/office/drawing/2012/chart">
                      <c:ext xmlns:c15="http://schemas.microsoft.com/office/drawing/2012/chart" uri="{02D57815-91ED-43cb-92C2-25804820EDAC}">
                        <c15:formulaRef>
                          <c15:sqref>'KRI Analytics'!$H$41:$T$41</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4-E209-4FB0-AC2F-84FF8429E710}"/>
                  </c:ext>
                </c:extLst>
              </c15:ser>
            </c15:filteredBarSeries>
          </c:ext>
        </c:extLst>
      </c:barChart>
      <c:lineChart>
        <c:grouping val="standard"/>
        <c:varyColors val="0"/>
        <c:ser>
          <c:idx val="2"/>
          <c:order val="2"/>
          <c:tx>
            <c:strRef>
              <c:f>'KRI Analytics'!$G$39</c:f>
              <c:strCache>
                <c:ptCount val="1"/>
                <c:pt idx="0">
                  <c:v>Expected Projects In Progress</c:v>
                </c:pt>
              </c:strCache>
            </c:strRef>
          </c:tx>
          <c:spPr>
            <a:ln w="28575" cap="rnd">
              <a:solidFill>
                <a:schemeClr val="accent6">
                  <a:lumMod val="75000"/>
                </a:schemeClr>
              </a:solidFill>
              <a:round/>
            </a:ln>
            <a:effectLst/>
          </c:spPr>
          <c:marker>
            <c:symbol val="none"/>
          </c:marker>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Analytics'!$H$39:$T$39</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2-E209-4FB0-AC2F-84FF8429E710}"/>
            </c:ext>
          </c:extLst>
        </c:ser>
        <c:dLbls>
          <c:showLegendKey val="0"/>
          <c:showVal val="0"/>
          <c:showCatName val="0"/>
          <c:showSerName val="0"/>
          <c:showPercent val="0"/>
          <c:showBubbleSize val="0"/>
        </c:dLbls>
        <c:marker val="1"/>
        <c:smooth val="0"/>
        <c:axId val="2081517647"/>
        <c:axId val="2081519727"/>
      </c:lineChart>
      <c:dateAx>
        <c:axId val="2081517647"/>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9727"/>
        <c:crosses val="autoZero"/>
        <c:auto val="1"/>
        <c:lblOffset val="100"/>
        <c:baseTimeUnit val="months"/>
        <c:majorUnit val="3"/>
        <c:majorTimeUnit val="months"/>
        <c:minorUnit val="3"/>
        <c:minorTimeUnit val="months"/>
      </c:dateAx>
      <c:valAx>
        <c:axId val="20815197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76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HIT!$J$20</c:f>
          <c:strCache>
            <c:ptCount val="1"/>
            <c:pt idx="0">
              <c:v>Average Risk compared to Banks and Credit Unions Threat Clusters as of 7/29/2021</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HIT!$D$5</c:f>
              <c:strCache>
                <c:ptCount val="1"/>
                <c:pt idx="0">
                  <c:v>Percentage</c:v>
                </c:pt>
              </c:strCache>
            </c:strRef>
          </c:tx>
          <c:spPr>
            <a:solidFill>
              <a:schemeClr val="accent1">
                <a:tint val="77000"/>
              </a:schemeClr>
            </a:solidFill>
            <a:ln>
              <a:noFill/>
            </a:ln>
            <a:effectLst/>
          </c:spPr>
          <c:invertIfNegative val="0"/>
          <c:cat>
            <c:strRef>
              <c:f>HIT!$B$6:$B$15</c:f>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f>HIT!$D$6:$D$15</c:f>
              <c:numCache>
                <c:formatCode>0%</c:formatCode>
                <c:ptCount val="10"/>
                <c:pt idx="0">
                  <c:v>0.53174603174603174</c:v>
                </c:pt>
                <c:pt idx="1">
                  <c:v>0.44444444444444442</c:v>
                </c:pt>
                <c:pt idx="2">
                  <c:v>0.3968253968253968</c:v>
                </c:pt>
                <c:pt idx="3">
                  <c:v>0.31746031746031744</c:v>
                </c:pt>
                <c:pt idx="4">
                  <c:v>0.25396825396825395</c:v>
                </c:pt>
                <c:pt idx="5">
                  <c:v>0.21428571428571427</c:v>
                </c:pt>
                <c:pt idx="6">
                  <c:v>0.11904761904761904</c:v>
                </c:pt>
                <c:pt idx="7">
                  <c:v>7.1428571428571425E-2</c:v>
                </c:pt>
                <c:pt idx="8">
                  <c:v>6.3492063492063489E-2</c:v>
                </c:pt>
                <c:pt idx="9">
                  <c:v>0</c:v>
                </c:pt>
              </c:numCache>
            </c:numRef>
          </c:val>
          <c:extLst>
            <c:ext xmlns:c16="http://schemas.microsoft.com/office/drawing/2014/chart" uri="{C3380CC4-5D6E-409C-BE32-E72D297353CC}">
              <c16:uniqueId val="{00000000-004F-4797-B101-A12713BC9C91}"/>
            </c:ext>
          </c:extLst>
        </c:ser>
        <c:dLbls>
          <c:showLegendKey val="0"/>
          <c:showVal val="0"/>
          <c:showCatName val="0"/>
          <c:showSerName val="0"/>
          <c:showPercent val="0"/>
          <c:showBubbleSize val="0"/>
        </c:dLbls>
        <c:gapWidth val="150"/>
        <c:axId val="582966136"/>
        <c:axId val="582965480"/>
        <c:extLst>
          <c:ext xmlns:c15="http://schemas.microsoft.com/office/drawing/2012/chart" uri="{02D57815-91ED-43cb-92C2-25804820EDAC}">
            <c15:filteredBarSeries>
              <c15:ser>
                <c:idx val="0"/>
                <c:order val="0"/>
                <c:tx>
                  <c:strRef>
                    <c:extLst>
                      <c:ext uri="{02D57815-91ED-43cb-92C2-25804820EDAC}">
                        <c15:formulaRef>
                          <c15:sqref>HIT!$C$5</c15:sqref>
                        </c15:formulaRef>
                      </c:ext>
                    </c:extLst>
                    <c:strCache>
                      <c:ptCount val="1"/>
                      <c:pt idx="0">
                        <c:v>Number of Incidents</c:v>
                      </c:pt>
                    </c:strCache>
                  </c:strRef>
                </c:tx>
                <c:spPr>
                  <a:solidFill>
                    <a:schemeClr val="accent1">
                      <a:shade val="58000"/>
                    </a:schemeClr>
                  </a:solidFill>
                  <a:ln>
                    <a:noFill/>
                  </a:ln>
                  <a:effectLst/>
                </c:spPr>
                <c:invertIfNegative val="0"/>
                <c:cat>
                  <c:strRef>
                    <c:extLst>
                      <c:ext uri="{02D57815-91ED-43cb-92C2-25804820EDAC}">
                        <c15:formulaRef>
                          <c15:sqref>HIT!$B$6:$B$15</c15:sqref>
                        </c15:formulaRef>
                      </c:ext>
                    </c:extLst>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extLst>
                      <c:ext uri="{02D57815-91ED-43cb-92C2-25804820EDAC}">
                        <c15:formulaRef>
                          <c15:sqref>HIT!$C$6:$C$15</c15:sqref>
                        </c15:formulaRef>
                      </c:ext>
                    </c:extLst>
                    <c:numCache>
                      <c:formatCode>General</c:formatCode>
                      <c:ptCount val="10"/>
                      <c:pt idx="0">
                        <c:v>67</c:v>
                      </c:pt>
                      <c:pt idx="1">
                        <c:v>56</c:v>
                      </c:pt>
                      <c:pt idx="2">
                        <c:v>50</c:v>
                      </c:pt>
                      <c:pt idx="3">
                        <c:v>40</c:v>
                      </c:pt>
                      <c:pt idx="4">
                        <c:v>32</c:v>
                      </c:pt>
                      <c:pt idx="5">
                        <c:v>27</c:v>
                      </c:pt>
                      <c:pt idx="6">
                        <c:v>15</c:v>
                      </c:pt>
                      <c:pt idx="7">
                        <c:v>9</c:v>
                      </c:pt>
                      <c:pt idx="8">
                        <c:v>8</c:v>
                      </c:pt>
                      <c:pt idx="9">
                        <c:v>0</c:v>
                      </c:pt>
                    </c:numCache>
                  </c:numRef>
                </c:val>
                <c:extLst>
                  <c:ext xmlns:c16="http://schemas.microsoft.com/office/drawing/2014/chart" uri="{C3380CC4-5D6E-409C-BE32-E72D297353CC}">
                    <c16:uniqueId val="{00000002-004F-4797-B101-A12713BC9C91}"/>
                  </c:ext>
                </c:extLst>
              </c15:ser>
            </c15:filteredBarSeries>
          </c:ext>
        </c:extLst>
      </c:barChart>
      <c:lineChart>
        <c:grouping val="standard"/>
        <c:varyColors val="0"/>
        <c:ser>
          <c:idx val="3"/>
          <c:order val="3"/>
          <c:tx>
            <c:strRef>
              <c:f>HIT!$F$5</c:f>
              <c:strCache>
                <c:ptCount val="1"/>
                <c:pt idx="0">
                  <c:v>Average Risk</c:v>
                </c:pt>
              </c:strCache>
            </c:strRef>
          </c:tx>
          <c:spPr>
            <a:ln w="28575" cap="rnd">
              <a:solidFill>
                <a:schemeClr val="accent1">
                  <a:tint val="58000"/>
                </a:schemeClr>
              </a:solidFill>
              <a:round/>
            </a:ln>
            <a:effectLst/>
          </c:spPr>
          <c:marker>
            <c:symbol val="circle"/>
            <c:size val="5"/>
            <c:spPr>
              <a:solidFill>
                <a:schemeClr val="accent1">
                  <a:tint val="58000"/>
                </a:schemeClr>
              </a:solidFill>
              <a:ln w="9525">
                <a:solidFill>
                  <a:schemeClr val="accent1">
                    <a:tint val="58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HIT!$B$6:$B$15</c:f>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f>HIT!$F$6:$F$15</c:f>
              <c:numCache>
                <c:formatCode>_(* #,##0.00_);_(* \(#,##0.00\);_(* "-"??_);_(@_)</c:formatCode>
                <c:ptCount val="10"/>
                <c:pt idx="0">
                  <c:v>5.5384615384615383</c:v>
                </c:pt>
                <c:pt idx="1">
                  <c:v>0</c:v>
                </c:pt>
                <c:pt idx="2">
                  <c:v>6</c:v>
                </c:pt>
                <c:pt idx="3">
                  <c:v>5.8181818181818183</c:v>
                </c:pt>
                <c:pt idx="4">
                  <c:v>4.4117647058823533</c:v>
                </c:pt>
                <c:pt idx="5">
                  <c:v>6.7608695652173916</c:v>
                </c:pt>
                <c:pt idx="6">
                  <c:v>2</c:v>
                </c:pt>
                <c:pt idx="7">
                  <c:v>4.7894736842105265</c:v>
                </c:pt>
                <c:pt idx="8">
                  <c:v>2.5</c:v>
                </c:pt>
                <c:pt idx="9">
                  <c:v>3.75</c:v>
                </c:pt>
              </c:numCache>
            </c:numRef>
          </c:val>
          <c:smooth val="0"/>
          <c:extLst>
            <c:ext xmlns:c16="http://schemas.microsoft.com/office/drawing/2014/chart" uri="{C3380CC4-5D6E-409C-BE32-E72D297353CC}">
              <c16:uniqueId val="{00000001-C1D4-4A04-9E9F-568F20AF7562}"/>
            </c:ext>
          </c:extLst>
        </c:ser>
        <c:dLbls>
          <c:showLegendKey val="0"/>
          <c:showVal val="0"/>
          <c:showCatName val="0"/>
          <c:showSerName val="0"/>
          <c:showPercent val="0"/>
          <c:showBubbleSize val="0"/>
        </c:dLbls>
        <c:marker val="1"/>
        <c:smooth val="0"/>
        <c:axId val="493908888"/>
        <c:axId val="493908560"/>
        <c:extLst>
          <c:ext xmlns:c15="http://schemas.microsoft.com/office/drawing/2012/chart" uri="{02D57815-91ED-43cb-92C2-25804820EDAC}">
            <c15:filteredLineSeries>
              <c15:ser>
                <c:idx val="2"/>
                <c:order val="2"/>
                <c:tx>
                  <c:strRef>
                    <c:extLst>
                      <c:ext uri="{02D57815-91ED-43cb-92C2-25804820EDAC}">
                        <c15:formulaRef>
                          <c15:sqref>HIT!$E$5</c15:sqref>
                        </c15:formulaRef>
                      </c:ext>
                    </c:extLst>
                    <c:strCache>
                      <c:ptCount val="1"/>
                      <c:pt idx="0">
                        <c:v>Quintile</c:v>
                      </c:pt>
                    </c:strCache>
                  </c:strRef>
                </c:tx>
                <c:spPr>
                  <a:ln w="19050" cap="rnd">
                    <a:solidFill>
                      <a:schemeClr val="tx2"/>
                    </a:solidFill>
                    <a:round/>
                  </a:ln>
                  <a:effectLst/>
                </c:spPr>
                <c:marker>
                  <c:symbol val="none"/>
                </c:marker>
                <c:cat>
                  <c:strRef>
                    <c:extLst>
                      <c:ext uri="{02D57815-91ED-43cb-92C2-25804820EDAC}">
                        <c15:formulaRef>
                          <c15:sqref>HIT!$B$6:$B$15</c15:sqref>
                        </c15:formulaRef>
                      </c:ext>
                    </c:extLst>
                    <c:strCache>
                      <c:ptCount val="10"/>
                      <c:pt idx="0">
                        <c:v>Physical Facility</c:v>
                      </c:pt>
                      <c:pt idx="1">
                        <c:v>POS</c:v>
                      </c:pt>
                      <c:pt idx="2">
                        <c:v>Physical Asset Loss</c:v>
                      </c:pt>
                      <c:pt idx="3">
                        <c:v>Personnel Error</c:v>
                      </c:pt>
                      <c:pt idx="4">
                        <c:v>Personnel Misuse</c:v>
                      </c:pt>
                      <c:pt idx="5">
                        <c:v>Hacking System</c:v>
                      </c:pt>
                      <c:pt idx="6">
                        <c:v>Social Engineering</c:v>
                      </c:pt>
                      <c:pt idx="7">
                        <c:v>Hacking Web</c:v>
                      </c:pt>
                      <c:pt idx="8">
                        <c:v>Malware</c:v>
                      </c:pt>
                      <c:pt idx="9">
                        <c:v>System Failure</c:v>
                      </c:pt>
                    </c:strCache>
                  </c:strRef>
                </c:cat>
                <c:val>
                  <c:numRef>
                    <c:extLst>
                      <c:ext uri="{02D57815-91ED-43cb-92C2-25804820EDAC}">
                        <c15:formulaRef>
                          <c15:sqref>HIT!$E$6:$E$15</c15:sqref>
                        </c15:formulaRef>
                      </c:ext>
                    </c:extLst>
                    <c:numCache>
                      <c:formatCode>_(* #,##0.00_);_(* \(#,##0.00\);_(* "-"??_);_(@_)</c:formatCode>
                      <c:ptCount val="10"/>
                      <c:pt idx="0">
                        <c:v>3</c:v>
                      </c:pt>
                      <c:pt idx="1">
                        <c:v>3</c:v>
                      </c:pt>
                      <c:pt idx="2">
                        <c:v>2</c:v>
                      </c:pt>
                      <c:pt idx="3">
                        <c:v>2</c:v>
                      </c:pt>
                      <c:pt idx="4">
                        <c:v>2</c:v>
                      </c:pt>
                      <c:pt idx="5">
                        <c:v>2</c:v>
                      </c:pt>
                      <c:pt idx="6">
                        <c:v>1</c:v>
                      </c:pt>
                      <c:pt idx="7">
                        <c:v>1</c:v>
                      </c:pt>
                      <c:pt idx="8">
                        <c:v>1</c:v>
                      </c:pt>
                      <c:pt idx="9">
                        <c:v>1</c:v>
                      </c:pt>
                    </c:numCache>
                  </c:numRef>
                </c:val>
                <c:smooth val="0"/>
                <c:extLst>
                  <c:ext xmlns:c16="http://schemas.microsoft.com/office/drawing/2014/chart" uri="{C3380CC4-5D6E-409C-BE32-E72D297353CC}">
                    <c16:uniqueId val="{00000001-004F-4797-B101-A12713BC9C91}"/>
                  </c:ext>
                </c:extLst>
              </c15:ser>
            </c15:filteredLineSeries>
          </c:ext>
        </c:extLst>
      </c:lineChart>
      <c:catAx>
        <c:axId val="58296613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965480"/>
        <c:crosses val="autoZero"/>
        <c:auto val="1"/>
        <c:lblAlgn val="ctr"/>
        <c:lblOffset val="100"/>
        <c:noMultiLvlLbl val="0"/>
      </c:catAx>
      <c:valAx>
        <c:axId val="5829654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966136"/>
        <c:crosses val="autoZero"/>
        <c:crossBetween val="between"/>
        <c:majorUnit val="0.2"/>
      </c:valAx>
      <c:valAx>
        <c:axId val="493908560"/>
        <c:scaling>
          <c:orientation val="minMax"/>
          <c:max val="25"/>
        </c:scaling>
        <c:delete val="0"/>
        <c:axPos val="r"/>
        <c:numFmt formatCode="_(* #,##0.00_);_(* \(#,##0.0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3908888"/>
        <c:crosses val="max"/>
        <c:crossBetween val="between"/>
      </c:valAx>
      <c:catAx>
        <c:axId val="493908888"/>
        <c:scaling>
          <c:orientation val="minMax"/>
        </c:scaling>
        <c:delete val="1"/>
        <c:axPos val="b"/>
        <c:numFmt formatCode="General" sourceLinked="1"/>
        <c:majorTickMark val="out"/>
        <c:minorTickMark val="none"/>
        <c:tickLblPos val="nextTo"/>
        <c:crossAx val="49390856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How are we tracking to the planned</a:t>
            </a:r>
            <a:r>
              <a:rPr lang="en-US" sz="1800" b="1" baseline="0"/>
              <a:t> remediation projects</a:t>
            </a:r>
            <a:r>
              <a:rPr lang="en-US" sz="1800" b="1"/>
              <a:t>?</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3"/>
          <c:order val="3"/>
          <c:tx>
            <c:strRef>
              <c:f>'KRI Analytics'!$G$40</c:f>
              <c:strCache>
                <c:ptCount val="1"/>
                <c:pt idx="0">
                  <c:v>Projects Completed</c:v>
                </c:pt>
              </c:strCache>
            </c:strRef>
          </c:tx>
          <c:spPr>
            <a:solidFill>
              <a:schemeClr val="accent3"/>
            </a:solidFill>
            <a:ln>
              <a:noFill/>
            </a:ln>
            <a:effectLst/>
          </c:spPr>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Analytics'!$H$40:$T$40</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2D1C-4795-B645-B0A0B88B54B1}"/>
            </c:ext>
          </c:extLst>
        </c:ser>
        <c:dLbls>
          <c:showLegendKey val="0"/>
          <c:showVal val="0"/>
          <c:showCatName val="0"/>
          <c:showSerName val="0"/>
          <c:showPercent val="0"/>
          <c:showBubbleSize val="0"/>
        </c:dLbls>
        <c:axId val="2081517647"/>
        <c:axId val="2081519727"/>
      </c:areaChart>
      <c:barChart>
        <c:barDir val="col"/>
        <c:grouping val="clustered"/>
        <c:varyColors val="0"/>
        <c:ser>
          <c:idx val="0"/>
          <c:order val="0"/>
          <c:tx>
            <c:strRef>
              <c:f>'KRI Analytics'!$G$37</c:f>
              <c:strCache>
                <c:ptCount val="1"/>
                <c:pt idx="0">
                  <c:v>Planned Project Starts</c:v>
                </c:pt>
              </c:strCache>
            </c:strRef>
          </c:tx>
          <c:spPr>
            <a:solidFill>
              <a:schemeClr val="accent1"/>
            </a:solidFill>
            <a:ln>
              <a:noFill/>
            </a:ln>
            <a:effectLst/>
          </c:spPr>
          <c:invertIfNegative val="0"/>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Analytics'!$H$37:$T$37</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D1C-4795-B645-B0A0B88B54B1}"/>
            </c:ext>
          </c:extLst>
        </c:ser>
        <c:ser>
          <c:idx val="1"/>
          <c:order val="1"/>
          <c:tx>
            <c:strRef>
              <c:f>'KRI Analytics'!$G$38</c:f>
              <c:strCache>
                <c:ptCount val="1"/>
                <c:pt idx="0">
                  <c:v>Planned Project End</c:v>
                </c:pt>
              </c:strCache>
            </c:strRef>
          </c:tx>
          <c:spPr>
            <a:solidFill>
              <a:schemeClr val="accent2"/>
            </a:solidFill>
            <a:ln>
              <a:solidFill>
                <a:schemeClr val="accent6">
                  <a:lumMod val="75000"/>
                </a:schemeClr>
              </a:solidFill>
            </a:ln>
            <a:effectLst/>
          </c:spPr>
          <c:invertIfNegative val="0"/>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Analytics'!$H$38:$T$38</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2D1C-4795-B645-B0A0B88B54B1}"/>
            </c:ext>
          </c:extLst>
        </c:ser>
        <c:dLbls>
          <c:showLegendKey val="0"/>
          <c:showVal val="0"/>
          <c:showCatName val="0"/>
          <c:showSerName val="0"/>
          <c:showPercent val="0"/>
          <c:showBubbleSize val="0"/>
        </c:dLbls>
        <c:gapWidth val="100"/>
        <c:axId val="2081517647"/>
        <c:axId val="2081519727"/>
      </c:barChart>
      <c:lineChart>
        <c:grouping val="standard"/>
        <c:varyColors val="0"/>
        <c:ser>
          <c:idx val="2"/>
          <c:order val="2"/>
          <c:tx>
            <c:strRef>
              <c:f>'KRI Analytics'!$G$39</c:f>
              <c:strCache>
                <c:ptCount val="1"/>
                <c:pt idx="0">
                  <c:v>Expected Projects In Progress</c:v>
                </c:pt>
              </c:strCache>
            </c:strRef>
          </c:tx>
          <c:spPr>
            <a:ln w="28575" cap="rnd">
              <a:solidFill>
                <a:schemeClr val="accent6">
                  <a:lumMod val="75000"/>
                </a:schemeClr>
              </a:solidFill>
              <a:round/>
            </a:ln>
            <a:effectLst/>
          </c:spPr>
          <c:marker>
            <c:symbol val="none"/>
          </c:marker>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Analytics'!$H$39:$T$39</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2-2D1C-4795-B645-B0A0B88B54B1}"/>
            </c:ext>
          </c:extLst>
        </c:ser>
        <c:ser>
          <c:idx val="4"/>
          <c:order val="4"/>
          <c:tx>
            <c:strRef>
              <c:f>'KRI Analytics'!$G$41</c:f>
              <c:strCache>
                <c:ptCount val="1"/>
                <c:pt idx="0">
                  <c:v>Projects In Progress</c:v>
                </c:pt>
              </c:strCache>
            </c:strRef>
          </c:tx>
          <c:spPr>
            <a:ln w="28575" cap="rnd">
              <a:solidFill>
                <a:schemeClr val="accent5"/>
              </a:solidFill>
              <a:round/>
            </a:ln>
            <a:effectLst/>
          </c:spPr>
          <c:marker>
            <c:symbol val="none"/>
          </c:marker>
          <c:cat>
            <c:numRef>
              <c:f>'KRI Analytics'!$H$36:$T$36</c:f>
              <c:numCache>
                <c:formatCode>m/d/yyyy</c:formatCode>
                <c:ptCount val="13"/>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numCache>
            </c:numRef>
          </c:cat>
          <c:val>
            <c:numRef>
              <c:f>'KRI Analytics'!$H$41:$T$41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4-2D1C-4795-B645-B0A0B88B54B1}"/>
            </c:ext>
          </c:extLst>
        </c:ser>
        <c:dLbls>
          <c:showLegendKey val="0"/>
          <c:showVal val="0"/>
          <c:showCatName val="0"/>
          <c:showSerName val="0"/>
          <c:showPercent val="0"/>
          <c:showBubbleSize val="0"/>
        </c:dLbls>
        <c:marker val="1"/>
        <c:smooth val="0"/>
        <c:axId val="2081517647"/>
        <c:axId val="2081519727"/>
      </c:lineChart>
      <c:dateAx>
        <c:axId val="2081517647"/>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9727"/>
        <c:crosses val="autoZero"/>
        <c:auto val="1"/>
        <c:lblOffset val="100"/>
        <c:baseTimeUnit val="months"/>
        <c:majorUnit val="3"/>
        <c:majorTimeUnit val="months"/>
        <c:minorUnit val="3"/>
        <c:minorTimeUnit val="months"/>
      </c:dateAx>
      <c:valAx>
        <c:axId val="20815197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20815176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[BCU - Risk Register w KRI - Draft - 20240730.xlsx]Pivot - CSP (Current)!PivotTable1</c:name>
    <c:fmtId val="20"/>
  </c:pivotSource>
  <c:chart>
    <c:title>
      <c:tx>
        <c:rich>
          <a:bodyPr rot="0" spcFirstLastPara="1" vertOverflow="ellipsis" vert="horz" wrap="square" anchor="ctr" anchorCtr="1"/>
          <a:lstStyle/>
          <a:p>
            <a:pPr>
              <a:defRPr sz="2800" b="1" i="0" u="none" strike="noStrike" kern="1200" spc="0" baseline="0">
                <a:solidFill>
                  <a:schemeClr val="tx1">
                    <a:lumMod val="65000"/>
                    <a:lumOff val="35000"/>
                  </a:schemeClr>
                </a:solidFill>
                <a:latin typeface="+mn-lt"/>
                <a:ea typeface="+mn-ea"/>
                <a:cs typeface="+mn-cs"/>
              </a:defRPr>
            </a:pPr>
            <a:r>
              <a:rPr lang="en-US"/>
              <a:t>Current Risk by CSP</a:t>
            </a:r>
          </a:p>
        </c:rich>
      </c:tx>
      <c:overlay val="0"/>
      <c:spPr>
        <a:noFill/>
        <a:ln>
          <a:noFill/>
        </a:ln>
        <a:effectLst/>
      </c:spPr>
      <c:txPr>
        <a:bodyPr rot="0" spcFirstLastPara="1" vertOverflow="ellipsis" vert="horz" wrap="square" anchor="ctr" anchorCtr="1"/>
        <a:lstStyle/>
        <a:p>
          <a:pPr>
            <a:defRPr sz="2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noFill/>
            <a:round/>
          </a:ln>
          <a:effectLst>
            <a:outerShdw blurRad="50800" dist="38100" dir="2700000" algn="tl" rotWithShape="0">
              <a:prstClr val="black">
                <a:alpha val="40000"/>
              </a:prstClr>
            </a:outerShdw>
          </a:effectLst>
        </c:spPr>
        <c:marker>
          <c:symbol val="circle"/>
          <c:size val="10"/>
          <c:spPr>
            <a:solidFill>
              <a:schemeClr val="accent2"/>
            </a:solidFill>
            <a:ln w="9525">
              <a:solidFill>
                <a:schemeClr val="accent2"/>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lumMod val="60000"/>
              <a:lumOff val="40000"/>
            </a:schemeClr>
          </a:solidFill>
          <a:ln cap="flat">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noFill/>
            <a:round/>
          </a:ln>
          <a:effectLst>
            <a:outerShdw blurRad="50800" dist="38100" dir="2700000" algn="tl" rotWithShape="0">
              <a:prstClr val="black">
                <a:alpha val="40000"/>
              </a:prstClr>
            </a:outerShdw>
          </a:effectLst>
        </c:spPr>
        <c:marker>
          <c:symbol val="circle"/>
          <c:size val="10"/>
          <c:spPr>
            <a:solidFill>
              <a:schemeClr val="accent2">
                <a:lumMod val="40000"/>
                <a:lumOff val="60000"/>
              </a:schemeClr>
            </a:solidFill>
            <a:ln w="9525">
              <a:solidFill>
                <a:schemeClr val="accent2">
                  <a:lumMod val="40000"/>
                  <a:lumOff val="60000"/>
                </a:schemeClr>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noFill/>
          <a:ln w="25400" cap="flat">
            <a:gradFill flip="none" rotWithShape="1">
              <a:gsLst>
                <a:gs pos="0">
                  <a:schemeClr val="accent1">
                    <a:lumMod val="60000"/>
                    <a:lumOff val="40000"/>
                  </a:schemeClr>
                </a:gs>
                <a:gs pos="38000">
                  <a:schemeClr val="accent6"/>
                </a:gs>
                <a:gs pos="67000">
                  <a:schemeClr val="accent6"/>
                </a:gs>
                <a:gs pos="100000">
                  <a:schemeClr val="accent6"/>
                </a:gs>
              </a:gsLst>
              <a:lin ang="16200000" scaled="1"/>
              <a:tileRect/>
            </a:gra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noFill/>
            <a:round/>
          </a:ln>
          <a:effectLst>
            <a:outerShdw blurRad="50800" dist="38100" dir="2700000" algn="tl" rotWithShape="0">
              <a:prstClr val="black">
                <a:alpha val="40000"/>
              </a:prstClr>
            </a:outerShdw>
          </a:effectLst>
        </c:spPr>
        <c:marker>
          <c:symbol val="circle"/>
          <c:size val="11"/>
          <c:spPr>
            <a:noFill/>
            <a:ln w="9525">
              <a:solidFill>
                <a:schemeClr val="accent6"/>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noFill/>
          <a:ln w="12700">
            <a:solidFill>
              <a:srgbClr val="4F81BD">
                <a:lumMod val="75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rgbClr val="4F81BD">
              <a:lumMod val="60000"/>
              <a:lumOff val="40000"/>
            </a:srgbClr>
          </a:solidFill>
          <a:ln w="12700">
            <a:solidFill>
              <a:srgbClr val="4F81BD">
                <a:lumMod val="60000"/>
                <a:lumOff val="40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rgbClr val="FFC000"/>
          </a:solidFill>
          <a:ln w="12700" cap="flat">
            <a:solidFill>
              <a:srgbClr val="FFC000">
                <a:alpha val="75000"/>
              </a:srgbClr>
            </a:soli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noFill/>
            <a:round/>
          </a:ln>
          <a:effectLst/>
        </c:spPr>
        <c:marker>
          <c:symbol val="circle"/>
          <c:size val="10"/>
          <c:spPr>
            <a:solidFill>
              <a:sysClr val="window" lastClr="FFFFFF"/>
            </a:solidFill>
            <a:ln w="9525">
              <a:solidFill>
                <a:srgbClr val="4F81BD">
                  <a:lumMod val="75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noFill/>
            <a:round/>
          </a:ln>
          <a:effectLst/>
        </c:spPr>
        <c:marker>
          <c:symbol val="circle"/>
          <c:size val="10"/>
          <c:spPr>
            <a:solidFill>
              <a:sysClr val="window" lastClr="FFFFFF"/>
            </a:solidFill>
            <a:ln w="12700">
              <a:solidFill>
                <a:srgbClr val="4F81BD">
                  <a:lumMod val="60000"/>
                  <a:lumOff val="40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noFill/>
            <a:round/>
          </a:ln>
          <a:effectLst/>
        </c:spPr>
        <c:marker>
          <c:symbol val="circle"/>
          <c:size val="10"/>
          <c:spPr>
            <a:solidFill>
              <a:srgbClr val="FFC000"/>
            </a:solidFill>
            <a:ln w="12700">
              <a:solidFill>
                <a:srgbClr val="FFC000"/>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rgbClr val="FFC000"/>
          </a:solidFill>
          <a:ln w="12700">
            <a:solidFill>
              <a:srgbClr val="4F81BD">
                <a:lumMod val="75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ln w="28575" cap="rnd">
            <a:noFill/>
            <a:round/>
          </a:ln>
          <a:effectLst/>
        </c:spPr>
        <c:marker>
          <c:symbol val="circle"/>
          <c:size val="10"/>
          <c:spPr>
            <a:solidFill>
              <a:sysClr val="window" lastClr="FFFFFF"/>
            </a:solidFill>
            <a:ln w="9525">
              <a:solidFill>
                <a:srgbClr val="4F81BD">
                  <a:lumMod val="75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2"/>
          <c:order val="2"/>
          <c:tx>
            <c:strRef>
              <c:f>'Pivot - CSP (Current)'!$D$3</c:f>
              <c:strCache>
                <c:ptCount val="1"/>
                <c:pt idx="0">
                  <c:v>Current Risk Score (Avg)</c:v>
                </c:pt>
              </c:strCache>
            </c:strRef>
          </c:tx>
          <c:spPr>
            <a:solidFill>
              <a:srgbClr val="FFC000"/>
            </a:solidFill>
            <a:ln w="12700">
              <a:solidFill>
                <a:srgbClr val="4F81BD">
                  <a:lumMod val="75000"/>
                </a:srgbClr>
              </a:solidFill>
            </a:ln>
            <a:effectLst/>
          </c:spPr>
          <c:invertIfNegative val="0"/>
          <c:cat>
            <c:strRef>
              <c:f>'Pivot - CSP (Current)'!$A$4:$A$20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(Current)'!$D$4:$D$20</c:f>
              <c:numCache>
                <c:formatCode>0.00</c:formatCode>
                <c:ptCount val="16"/>
                <c:pt idx="0">
                  <c:v>4.5</c:v>
                </c:pt>
                <c:pt idx="1">
                  <c:v>6.8571428571428568</c:v>
                </c:pt>
                <c:pt idx="2">
                  <c:v>8</c:v>
                </c:pt>
                <c:pt idx="3">
                  <c:v>4.2</c:v>
                </c:pt>
                <c:pt idx="4">
                  <c:v>8.8888888888888893</c:v>
                </c:pt>
                <c:pt idx="5">
                  <c:v>2.25</c:v>
                </c:pt>
                <c:pt idx="6">
                  <c:v>5</c:v>
                </c:pt>
                <c:pt idx="7">
                  <c:v>3.5555555555555554</c:v>
                </c:pt>
                <c:pt idx="8">
                  <c:v>5.1764705882352944</c:v>
                </c:pt>
                <c:pt idx="9">
                  <c:v>5.7241379310344831</c:v>
                </c:pt>
                <c:pt idx="10">
                  <c:v>5</c:v>
                </c:pt>
                <c:pt idx="11">
                  <c:v>7.333333333333333</c:v>
                </c:pt>
                <c:pt idx="12">
                  <c:v>6.666666666666667</c:v>
                </c:pt>
                <c:pt idx="13">
                  <c:v>12</c:v>
                </c:pt>
                <c:pt idx="14">
                  <c:v>4</c:v>
                </c:pt>
                <c:pt idx="15">
                  <c:v>5.6</c:v>
                </c:pt>
              </c:numCache>
            </c:numRef>
          </c:val>
          <c:extLst>
            <c:ext xmlns:c16="http://schemas.microsoft.com/office/drawing/2014/chart" uri="{C3380CC4-5D6E-409C-BE32-E72D297353CC}">
              <c16:uniqueId val="{00000004-41B4-434B-A1E1-FCC0840EEA9B}"/>
            </c:ext>
          </c:extLst>
        </c:ser>
        <c:dLbls>
          <c:showLegendKey val="0"/>
          <c:showVal val="0"/>
          <c:showCatName val="0"/>
          <c:showSerName val="0"/>
          <c:showPercent val="0"/>
          <c:showBubbleSize val="0"/>
        </c:dLbls>
        <c:gapWidth val="150"/>
        <c:overlap val="100"/>
        <c:axId val="505419064"/>
        <c:axId val="419364248"/>
      </c:barChart>
      <c:lineChart>
        <c:grouping val="standard"/>
        <c:varyColors val="0"/>
        <c:ser>
          <c:idx val="0"/>
          <c:order val="0"/>
          <c:tx>
            <c:strRef>
              <c:f>'Pivot - CSP (Current)'!$B$3</c:f>
              <c:strCache>
                <c:ptCount val="1"/>
                <c:pt idx="0">
                  <c:v>Acceptable Risk Level</c:v>
                </c:pt>
              </c:strCache>
            </c:strRef>
          </c:tx>
          <c:spPr>
            <a:ln w="60325" cap="rnd">
              <a:solidFill>
                <a:schemeClr val="accent3"/>
              </a:solidFill>
              <a:round/>
            </a:ln>
            <a:effectLst/>
          </c:spPr>
          <c:marker>
            <c:symbol val="none"/>
          </c:marker>
          <c:cat>
            <c:strRef>
              <c:f>'Pivot - CSP (Current)'!$A$4:$A$20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(Current)'!$B$4:$B$20</c:f>
              <c:numCache>
                <c:formatCode>0</c:formatCode>
                <c:ptCount val="16"/>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numCache>
            </c:numRef>
          </c:val>
          <c:smooth val="0"/>
          <c:extLst>
            <c:ext xmlns:c16="http://schemas.microsoft.com/office/drawing/2014/chart" uri="{C3380CC4-5D6E-409C-BE32-E72D297353CC}">
              <c16:uniqueId val="{00000000-41B4-434B-A1E1-FCC0840EEA9B}"/>
            </c:ext>
          </c:extLst>
        </c:ser>
        <c:ser>
          <c:idx val="1"/>
          <c:order val="1"/>
          <c:tx>
            <c:strRef>
              <c:f>'Pivot - CSP (Current)'!$C$3</c:f>
              <c:strCache>
                <c:ptCount val="1"/>
                <c:pt idx="0">
                  <c:v>Current Risk Score (Max)</c:v>
                </c:pt>
              </c:strCache>
            </c:strRef>
          </c:tx>
          <c:spPr>
            <a:ln w="28575" cap="rnd">
              <a:noFill/>
              <a:round/>
            </a:ln>
            <a:effectLst/>
          </c:spPr>
          <c:marker>
            <c:symbol val="circle"/>
            <c:size val="10"/>
            <c:spPr>
              <a:solidFill>
                <a:sysClr val="window" lastClr="FFFFFF"/>
              </a:solidFill>
              <a:ln w="9525">
                <a:solidFill>
                  <a:srgbClr val="4F81BD">
                    <a:lumMod val="75000"/>
                  </a:srgbClr>
                </a:solidFill>
              </a:ln>
              <a:effectLst/>
            </c:spPr>
          </c:marker>
          <c:cat>
            <c:strRef>
              <c:f>'Pivot - CSP (Current)'!$A$4:$A$20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(Current)'!$C$4:$C$20</c:f>
              <c:numCache>
                <c:formatCode>0.00</c:formatCode>
                <c:ptCount val="16"/>
                <c:pt idx="0">
                  <c:v>9</c:v>
                </c:pt>
                <c:pt idx="1">
                  <c:v>12</c:v>
                </c:pt>
                <c:pt idx="2">
                  <c:v>8</c:v>
                </c:pt>
                <c:pt idx="3">
                  <c:v>6</c:v>
                </c:pt>
                <c:pt idx="4">
                  <c:v>16</c:v>
                </c:pt>
                <c:pt idx="5">
                  <c:v>4</c:v>
                </c:pt>
                <c:pt idx="6">
                  <c:v>8</c:v>
                </c:pt>
                <c:pt idx="7">
                  <c:v>6</c:v>
                </c:pt>
                <c:pt idx="8">
                  <c:v>12</c:v>
                </c:pt>
                <c:pt idx="9">
                  <c:v>12</c:v>
                </c:pt>
                <c:pt idx="10">
                  <c:v>12</c:v>
                </c:pt>
                <c:pt idx="11">
                  <c:v>12</c:v>
                </c:pt>
                <c:pt idx="12">
                  <c:v>8</c:v>
                </c:pt>
                <c:pt idx="13">
                  <c:v>12</c:v>
                </c:pt>
                <c:pt idx="14">
                  <c:v>6</c:v>
                </c:pt>
                <c:pt idx="15">
                  <c:v>9</c:v>
                </c:pt>
              </c:numCache>
            </c:numRef>
          </c:val>
          <c:smooth val="0"/>
          <c:extLst>
            <c:ext xmlns:c16="http://schemas.microsoft.com/office/drawing/2014/chart" uri="{C3380CC4-5D6E-409C-BE32-E72D297353CC}">
              <c16:uniqueId val="{00000003-41B4-434B-A1E1-FCC0840EEA9B}"/>
            </c:ext>
          </c:extLst>
        </c:ser>
        <c:dLbls>
          <c:showLegendKey val="0"/>
          <c:showVal val="0"/>
          <c:showCatName val="0"/>
          <c:showSerName val="0"/>
          <c:showPercent val="0"/>
          <c:showBubbleSize val="0"/>
        </c:dLbls>
        <c:marker val="1"/>
        <c:smooth val="0"/>
        <c:axId val="505419064"/>
        <c:axId val="419364248"/>
      </c:lineChart>
      <c:catAx>
        <c:axId val="505419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419364248"/>
        <c:crosses val="autoZero"/>
        <c:auto val="1"/>
        <c:lblAlgn val="ctr"/>
        <c:lblOffset val="100"/>
        <c:noMultiLvlLbl val="0"/>
      </c:catAx>
      <c:valAx>
        <c:axId val="419364248"/>
        <c:scaling>
          <c:orientation val="minMax"/>
          <c:max val="2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5054190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extLst>
    <c:ext xmlns:c14="http://schemas.microsoft.com/office/drawing/2007/8/2/chart" uri="{781A3756-C4B2-4CAC-9D66-4F8BD8637D16}">
      <c14:pivotOptions>
        <c14:dropZoneFilter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[BCU - Risk Register w KRI - Draft - 20240730.xlsx]Pivot - CSP (All)!PivotTable1</c:name>
    <c:fmtId val="2"/>
  </c:pivotSource>
  <c:chart>
    <c:title>
      <c:tx>
        <c:rich>
          <a:bodyPr rot="0" spcFirstLastPara="1" vertOverflow="ellipsis" vert="horz" wrap="square" anchor="ctr" anchorCtr="1"/>
          <a:lstStyle/>
          <a:p>
            <a:pPr>
              <a:defRPr sz="2800" b="1" i="0" u="none" strike="noStrike" kern="1200" spc="0" baseline="0">
                <a:solidFill>
                  <a:schemeClr val="tx1">
                    <a:lumMod val="65000"/>
                    <a:lumOff val="35000"/>
                  </a:schemeClr>
                </a:solidFill>
                <a:latin typeface="+mn-lt"/>
                <a:ea typeface="+mn-ea"/>
                <a:cs typeface="+mn-cs"/>
              </a:defRPr>
            </a:pPr>
            <a:r>
              <a:rPr lang="en-US"/>
              <a:t>Risk Score by Security Program</a:t>
            </a:r>
          </a:p>
        </c:rich>
      </c:tx>
      <c:overlay val="0"/>
      <c:spPr>
        <a:noFill/>
        <a:ln>
          <a:noFill/>
        </a:ln>
        <a:effectLst/>
      </c:spPr>
      <c:txPr>
        <a:bodyPr rot="0" spcFirstLastPara="1" vertOverflow="ellipsis" vert="horz" wrap="square" anchor="ctr" anchorCtr="1"/>
        <a:lstStyle/>
        <a:p>
          <a:pPr>
            <a:defRPr sz="2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noFill/>
            <a:round/>
          </a:ln>
          <a:effectLst>
            <a:outerShdw blurRad="50800" dist="38100" dir="2700000" algn="tl" rotWithShape="0">
              <a:prstClr val="black">
                <a:alpha val="40000"/>
              </a:prstClr>
            </a:outerShdw>
          </a:effectLst>
        </c:spPr>
        <c:marker>
          <c:symbol val="circle"/>
          <c:size val="10"/>
          <c:spPr>
            <a:solidFill>
              <a:schemeClr val="accent2"/>
            </a:solidFill>
            <a:ln w="9525">
              <a:solidFill>
                <a:schemeClr val="accent2"/>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lumMod val="60000"/>
              <a:lumOff val="40000"/>
            </a:schemeClr>
          </a:solidFill>
          <a:ln cap="flat">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noFill/>
            <a:round/>
          </a:ln>
          <a:effectLst>
            <a:outerShdw blurRad="50800" dist="38100" dir="2700000" algn="tl" rotWithShape="0">
              <a:prstClr val="black">
                <a:alpha val="40000"/>
              </a:prstClr>
            </a:outerShdw>
          </a:effectLst>
        </c:spPr>
        <c:marker>
          <c:symbol val="circle"/>
          <c:size val="10"/>
          <c:spPr>
            <a:solidFill>
              <a:schemeClr val="accent2">
                <a:lumMod val="40000"/>
                <a:lumOff val="60000"/>
              </a:schemeClr>
            </a:solidFill>
            <a:ln w="9525">
              <a:solidFill>
                <a:schemeClr val="accent2">
                  <a:lumMod val="40000"/>
                  <a:lumOff val="60000"/>
                </a:schemeClr>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noFill/>
          <a:ln w="25400" cap="flat">
            <a:gradFill flip="none" rotWithShape="1">
              <a:gsLst>
                <a:gs pos="0">
                  <a:schemeClr val="accent1">
                    <a:lumMod val="60000"/>
                    <a:lumOff val="40000"/>
                  </a:schemeClr>
                </a:gs>
                <a:gs pos="38000">
                  <a:schemeClr val="accent6"/>
                </a:gs>
                <a:gs pos="67000">
                  <a:schemeClr val="accent6"/>
                </a:gs>
                <a:gs pos="100000">
                  <a:schemeClr val="accent6"/>
                </a:gs>
              </a:gsLst>
              <a:lin ang="16200000" scaled="1"/>
              <a:tileRect/>
            </a:gra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noFill/>
            <a:round/>
          </a:ln>
          <a:effectLst>
            <a:outerShdw blurRad="50800" dist="38100" dir="2700000" algn="tl" rotWithShape="0">
              <a:prstClr val="black">
                <a:alpha val="40000"/>
              </a:prstClr>
            </a:outerShdw>
          </a:effectLst>
        </c:spPr>
        <c:marker>
          <c:symbol val="circle"/>
          <c:size val="11"/>
          <c:spPr>
            <a:noFill/>
            <a:ln w="9525">
              <a:solidFill>
                <a:schemeClr val="accent6"/>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noFill/>
          <a:ln w="12700">
            <a:solidFill>
              <a:srgbClr val="4F81BD">
                <a:lumMod val="75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rgbClr val="4F81BD">
              <a:lumMod val="60000"/>
              <a:lumOff val="40000"/>
            </a:srgbClr>
          </a:solidFill>
          <a:ln w="12700">
            <a:solidFill>
              <a:srgbClr val="4F81BD">
                <a:lumMod val="60000"/>
                <a:lumOff val="40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rgbClr val="FFC000"/>
          </a:solidFill>
          <a:ln w="12700" cap="flat">
            <a:solidFill>
              <a:srgbClr val="FFC000">
                <a:alpha val="75000"/>
              </a:srgbClr>
            </a:soli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ln w="28575" cap="rnd">
            <a:noFill/>
            <a:round/>
          </a:ln>
          <a:effectLst/>
        </c:spPr>
        <c:marker>
          <c:symbol val="circle"/>
          <c:size val="10"/>
          <c:spPr>
            <a:solidFill>
              <a:sysClr val="window" lastClr="FFFFFF"/>
            </a:solidFill>
            <a:ln w="9525">
              <a:solidFill>
                <a:srgbClr val="4F81BD">
                  <a:lumMod val="75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ln w="28575" cap="rnd">
            <a:noFill/>
            <a:round/>
          </a:ln>
          <a:effectLst/>
        </c:spPr>
        <c:marker>
          <c:symbol val="circle"/>
          <c:size val="10"/>
          <c:spPr>
            <a:solidFill>
              <a:sysClr val="window" lastClr="FFFFFF"/>
            </a:solidFill>
            <a:ln w="12700">
              <a:solidFill>
                <a:srgbClr val="4F81BD">
                  <a:lumMod val="60000"/>
                  <a:lumOff val="40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ln w="28575" cap="rnd">
            <a:noFill/>
            <a:round/>
          </a:ln>
          <a:effectLst/>
        </c:spPr>
        <c:marker>
          <c:symbol val="circle"/>
          <c:size val="10"/>
          <c:spPr>
            <a:solidFill>
              <a:srgbClr val="FFC000"/>
            </a:solidFill>
            <a:ln w="12700">
              <a:solidFill>
                <a:srgbClr val="FFC000"/>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2"/>
          <c:order val="2"/>
          <c:tx>
            <c:strRef>
              <c:f>'Pivot - CSP (All)'!$D$3</c:f>
              <c:strCache>
                <c:ptCount val="1"/>
                <c:pt idx="0">
                  <c:v>Initial Risk Score (Avg)</c:v>
                </c:pt>
              </c:strCache>
            </c:strRef>
          </c:tx>
          <c:spPr>
            <a:noFill/>
            <a:ln w="12700">
              <a:solidFill>
                <a:srgbClr val="4F81BD">
                  <a:lumMod val="75000"/>
                </a:srgbClr>
              </a:solidFill>
            </a:ln>
            <a:effectLst/>
          </c:spPr>
          <c:invertIfNegative val="0"/>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(All)'!$D$4:$D$20</c:f>
              <c:numCache>
                <c:formatCode>0.00</c:formatCode>
                <c:ptCount val="16"/>
                <c:pt idx="0">
                  <c:v>4.5</c:v>
                </c:pt>
                <c:pt idx="1">
                  <c:v>6.8571428571428568</c:v>
                </c:pt>
                <c:pt idx="2">
                  <c:v>8</c:v>
                </c:pt>
                <c:pt idx="3">
                  <c:v>4.2</c:v>
                </c:pt>
                <c:pt idx="4">
                  <c:v>8.8888888888888893</c:v>
                </c:pt>
                <c:pt idx="5">
                  <c:v>2.25</c:v>
                </c:pt>
                <c:pt idx="6">
                  <c:v>5</c:v>
                </c:pt>
                <c:pt idx="7">
                  <c:v>3.5555555555555554</c:v>
                </c:pt>
                <c:pt idx="8">
                  <c:v>5.1764705882352944</c:v>
                </c:pt>
                <c:pt idx="9">
                  <c:v>5.7241379310344831</c:v>
                </c:pt>
                <c:pt idx="10">
                  <c:v>5</c:v>
                </c:pt>
                <c:pt idx="11">
                  <c:v>7.333333333333333</c:v>
                </c:pt>
                <c:pt idx="12">
                  <c:v>6.666666666666667</c:v>
                </c:pt>
                <c:pt idx="13">
                  <c:v>12</c:v>
                </c:pt>
                <c:pt idx="14">
                  <c:v>4</c:v>
                </c:pt>
                <c:pt idx="15">
                  <c:v>5.6</c:v>
                </c:pt>
              </c:numCache>
            </c:numRef>
          </c:val>
          <c:extLst>
            <c:ext xmlns:c16="http://schemas.microsoft.com/office/drawing/2014/chart" uri="{C3380CC4-5D6E-409C-BE32-E72D297353CC}">
              <c16:uniqueId val="{00000004-41B4-434B-A1E1-FCC0840EEA9B}"/>
            </c:ext>
          </c:extLst>
        </c:ser>
        <c:ser>
          <c:idx val="4"/>
          <c:order val="4"/>
          <c:tx>
            <c:strRef>
              <c:f>'Pivot - CSP (All)'!$F$3</c:f>
              <c:strCache>
                <c:ptCount val="1"/>
                <c:pt idx="0">
                  <c:v>Current Risk Score (Avg)</c:v>
                </c:pt>
              </c:strCache>
            </c:strRef>
          </c:tx>
          <c:spPr>
            <a:solidFill>
              <a:srgbClr val="FFC000"/>
            </a:solidFill>
            <a:ln w="12700" cap="flat">
              <a:solidFill>
                <a:srgbClr val="FFC000">
                  <a:alpha val="75000"/>
                </a:srgbClr>
              </a:solidFill>
            </a:ln>
            <a:effectLst>
              <a:outerShdw blurRad="50800" dist="38100" dir="5400000" algn="t" rotWithShape="0">
                <a:prstClr val="black">
                  <a:alpha val="40000"/>
                </a:prstClr>
              </a:outerShdw>
            </a:effectLst>
          </c:spPr>
          <c:invertIfNegative val="0"/>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(All)'!$F$4:$F$20</c:f>
              <c:numCache>
                <c:formatCode>0.00</c:formatCode>
                <c:ptCount val="16"/>
                <c:pt idx="0">
                  <c:v>4.5</c:v>
                </c:pt>
                <c:pt idx="1">
                  <c:v>6.8571428571428568</c:v>
                </c:pt>
                <c:pt idx="2">
                  <c:v>8</c:v>
                </c:pt>
                <c:pt idx="3">
                  <c:v>4.2</c:v>
                </c:pt>
                <c:pt idx="4">
                  <c:v>8.8888888888888893</c:v>
                </c:pt>
                <c:pt idx="5">
                  <c:v>2.25</c:v>
                </c:pt>
                <c:pt idx="6">
                  <c:v>5</c:v>
                </c:pt>
                <c:pt idx="7">
                  <c:v>3.5555555555555554</c:v>
                </c:pt>
                <c:pt idx="8">
                  <c:v>5.1764705882352944</c:v>
                </c:pt>
                <c:pt idx="9">
                  <c:v>5.7241379310344831</c:v>
                </c:pt>
                <c:pt idx="10">
                  <c:v>5</c:v>
                </c:pt>
                <c:pt idx="11">
                  <c:v>7.333333333333333</c:v>
                </c:pt>
                <c:pt idx="12">
                  <c:v>6.666666666666667</c:v>
                </c:pt>
                <c:pt idx="13">
                  <c:v>12</c:v>
                </c:pt>
                <c:pt idx="14">
                  <c:v>4</c:v>
                </c:pt>
                <c:pt idx="15">
                  <c:v>5.6</c:v>
                </c:pt>
              </c:numCache>
            </c:numRef>
          </c:val>
          <c:extLst>
            <c:ext xmlns:c16="http://schemas.microsoft.com/office/drawing/2014/chart" uri="{C3380CC4-5D6E-409C-BE32-E72D297353CC}">
              <c16:uniqueId val="{00000005-41B4-434B-A1E1-FCC0840EEA9B}"/>
            </c:ext>
          </c:extLst>
        </c:ser>
        <c:ser>
          <c:idx val="6"/>
          <c:order val="6"/>
          <c:tx>
            <c:strRef>
              <c:f>'Pivot - CSP (All)'!$H$3</c:f>
              <c:strCache>
                <c:ptCount val="1"/>
                <c:pt idx="0">
                  <c:v>Target Risk Score (Avg)</c:v>
                </c:pt>
              </c:strCache>
            </c:strRef>
          </c:tx>
          <c:spPr>
            <a:solidFill>
              <a:srgbClr val="4F81BD">
                <a:lumMod val="60000"/>
                <a:lumOff val="40000"/>
              </a:srgbClr>
            </a:solidFill>
            <a:ln w="12700">
              <a:solidFill>
                <a:srgbClr val="4F81BD">
                  <a:lumMod val="60000"/>
                  <a:lumOff val="40000"/>
                </a:srgbClr>
              </a:solidFill>
            </a:ln>
            <a:effectLst/>
          </c:spPr>
          <c:invertIfNegative val="0"/>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(All)'!$H$4:$H$20</c:f>
              <c:numCache>
                <c:formatCode>0.00</c:formatCode>
                <c:ptCount val="16"/>
                <c:pt idx="0">
                  <c:v>3.75</c:v>
                </c:pt>
                <c:pt idx="1">
                  <c:v>6</c:v>
                </c:pt>
                <c:pt idx="2">
                  <c:v>8</c:v>
                </c:pt>
                <c:pt idx="3">
                  <c:v>4.2</c:v>
                </c:pt>
                <c:pt idx="4">
                  <c:v>5.333333333333333</c:v>
                </c:pt>
                <c:pt idx="5">
                  <c:v>2.25</c:v>
                </c:pt>
                <c:pt idx="6">
                  <c:v>5</c:v>
                </c:pt>
                <c:pt idx="7">
                  <c:v>3.5555555555555554</c:v>
                </c:pt>
                <c:pt idx="8">
                  <c:v>4.8235294117647056</c:v>
                </c:pt>
                <c:pt idx="9">
                  <c:v>4.7586206896551726</c:v>
                </c:pt>
                <c:pt idx="10">
                  <c:v>4.4000000000000004</c:v>
                </c:pt>
                <c:pt idx="11">
                  <c:v>6.833333333333333</c:v>
                </c:pt>
                <c:pt idx="12">
                  <c:v>6.666666666666667</c:v>
                </c:pt>
                <c:pt idx="13">
                  <c:v>6</c:v>
                </c:pt>
                <c:pt idx="14">
                  <c:v>4</c:v>
                </c:pt>
                <c:pt idx="15">
                  <c:v>5</c:v>
                </c:pt>
              </c:numCache>
            </c:numRef>
          </c:val>
          <c:extLst>
            <c:ext xmlns:c16="http://schemas.microsoft.com/office/drawing/2014/chart" uri="{C3380CC4-5D6E-409C-BE32-E72D297353CC}">
              <c16:uniqueId val="{00000006-41B4-434B-A1E1-FCC0840EEA9B}"/>
            </c:ext>
          </c:extLst>
        </c:ser>
        <c:dLbls>
          <c:showLegendKey val="0"/>
          <c:showVal val="0"/>
          <c:showCatName val="0"/>
          <c:showSerName val="0"/>
          <c:showPercent val="0"/>
          <c:showBubbleSize val="0"/>
        </c:dLbls>
        <c:gapWidth val="150"/>
        <c:overlap val="100"/>
        <c:axId val="505419064"/>
        <c:axId val="419364248"/>
      </c:barChart>
      <c:lineChart>
        <c:grouping val="standard"/>
        <c:varyColors val="0"/>
        <c:ser>
          <c:idx val="0"/>
          <c:order val="0"/>
          <c:tx>
            <c:strRef>
              <c:f>'Pivot - CSP (All)'!$B$3</c:f>
              <c:strCache>
                <c:ptCount val="1"/>
                <c:pt idx="0">
                  <c:v>Acceptable Risk Level</c:v>
                </c:pt>
              </c:strCache>
            </c:strRef>
          </c:tx>
          <c:spPr>
            <a:ln w="60325" cap="rnd">
              <a:solidFill>
                <a:schemeClr val="accent3"/>
              </a:solidFill>
              <a:round/>
            </a:ln>
            <a:effectLst/>
          </c:spPr>
          <c:marker>
            <c:symbol val="none"/>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(All)'!$B$4:$B$20</c:f>
              <c:numCache>
                <c:formatCode>0</c:formatCode>
                <c:ptCount val="16"/>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numCache>
            </c:numRef>
          </c:val>
          <c:smooth val="0"/>
          <c:extLst>
            <c:ext xmlns:c16="http://schemas.microsoft.com/office/drawing/2014/chart" uri="{C3380CC4-5D6E-409C-BE32-E72D297353CC}">
              <c16:uniqueId val="{00000000-41B4-434B-A1E1-FCC0840EEA9B}"/>
            </c:ext>
          </c:extLst>
        </c:ser>
        <c:ser>
          <c:idx val="1"/>
          <c:order val="1"/>
          <c:tx>
            <c:strRef>
              <c:f>'Pivot - CSP (All)'!$C$3</c:f>
              <c:strCache>
                <c:ptCount val="1"/>
                <c:pt idx="0">
                  <c:v>Initial Risk Score (Max)</c:v>
                </c:pt>
              </c:strCache>
            </c:strRef>
          </c:tx>
          <c:spPr>
            <a:ln w="28575" cap="rnd">
              <a:noFill/>
              <a:round/>
            </a:ln>
            <a:effectLst/>
          </c:spPr>
          <c:marker>
            <c:symbol val="circle"/>
            <c:size val="10"/>
            <c:spPr>
              <a:solidFill>
                <a:sysClr val="window" lastClr="FFFFFF"/>
              </a:solidFill>
              <a:ln w="9525">
                <a:solidFill>
                  <a:srgbClr val="4F81BD">
                    <a:lumMod val="75000"/>
                  </a:srgbClr>
                </a:solidFill>
              </a:ln>
              <a:effectLst/>
            </c:spPr>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(All)'!$C$4:$C$20</c:f>
              <c:numCache>
                <c:formatCode>0.00</c:formatCode>
                <c:ptCount val="16"/>
                <c:pt idx="0">
                  <c:v>9</c:v>
                </c:pt>
                <c:pt idx="1">
                  <c:v>12</c:v>
                </c:pt>
                <c:pt idx="2">
                  <c:v>8</c:v>
                </c:pt>
                <c:pt idx="3">
                  <c:v>6</c:v>
                </c:pt>
                <c:pt idx="4">
                  <c:v>16</c:v>
                </c:pt>
                <c:pt idx="5">
                  <c:v>4</c:v>
                </c:pt>
                <c:pt idx="6">
                  <c:v>8</c:v>
                </c:pt>
                <c:pt idx="7">
                  <c:v>6</c:v>
                </c:pt>
                <c:pt idx="8">
                  <c:v>12</c:v>
                </c:pt>
                <c:pt idx="9">
                  <c:v>12</c:v>
                </c:pt>
                <c:pt idx="10">
                  <c:v>12</c:v>
                </c:pt>
                <c:pt idx="11">
                  <c:v>12</c:v>
                </c:pt>
                <c:pt idx="12">
                  <c:v>8</c:v>
                </c:pt>
                <c:pt idx="13">
                  <c:v>12</c:v>
                </c:pt>
                <c:pt idx="14">
                  <c:v>6</c:v>
                </c:pt>
                <c:pt idx="15">
                  <c:v>9</c:v>
                </c:pt>
              </c:numCache>
            </c:numRef>
          </c:val>
          <c:smooth val="0"/>
          <c:extLst>
            <c:ext xmlns:c16="http://schemas.microsoft.com/office/drawing/2014/chart" uri="{C3380CC4-5D6E-409C-BE32-E72D297353CC}">
              <c16:uniqueId val="{00000003-41B4-434B-A1E1-FCC0840EEA9B}"/>
            </c:ext>
          </c:extLst>
        </c:ser>
        <c:ser>
          <c:idx val="3"/>
          <c:order val="3"/>
          <c:tx>
            <c:strRef>
              <c:f>'Pivot - CSP (All)'!$E$3</c:f>
              <c:strCache>
                <c:ptCount val="1"/>
                <c:pt idx="0">
                  <c:v>Current Risk Score (Max)</c:v>
                </c:pt>
              </c:strCache>
            </c:strRef>
          </c:tx>
          <c:spPr>
            <a:ln w="28575" cap="rnd">
              <a:noFill/>
              <a:round/>
            </a:ln>
            <a:effectLst/>
          </c:spPr>
          <c:marker>
            <c:symbol val="circle"/>
            <c:size val="10"/>
            <c:spPr>
              <a:solidFill>
                <a:srgbClr val="FFC000"/>
              </a:solidFill>
              <a:ln w="12700">
                <a:solidFill>
                  <a:srgbClr val="FFC000"/>
                </a:solidFill>
              </a:ln>
              <a:effectLst/>
            </c:spPr>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(All)'!$E$4:$E$20</c:f>
              <c:numCache>
                <c:formatCode>0.00</c:formatCode>
                <c:ptCount val="16"/>
                <c:pt idx="0">
                  <c:v>9</c:v>
                </c:pt>
                <c:pt idx="1">
                  <c:v>12</c:v>
                </c:pt>
                <c:pt idx="2">
                  <c:v>8</c:v>
                </c:pt>
                <c:pt idx="3">
                  <c:v>6</c:v>
                </c:pt>
                <c:pt idx="4">
                  <c:v>16</c:v>
                </c:pt>
                <c:pt idx="5">
                  <c:v>4</c:v>
                </c:pt>
                <c:pt idx="6">
                  <c:v>8</c:v>
                </c:pt>
                <c:pt idx="7">
                  <c:v>6</c:v>
                </c:pt>
                <c:pt idx="8">
                  <c:v>12</c:v>
                </c:pt>
                <c:pt idx="9">
                  <c:v>12</c:v>
                </c:pt>
                <c:pt idx="10">
                  <c:v>12</c:v>
                </c:pt>
                <c:pt idx="11">
                  <c:v>12</c:v>
                </c:pt>
                <c:pt idx="12">
                  <c:v>8</c:v>
                </c:pt>
                <c:pt idx="13">
                  <c:v>12</c:v>
                </c:pt>
                <c:pt idx="14">
                  <c:v>6</c:v>
                </c:pt>
                <c:pt idx="15">
                  <c:v>9</c:v>
                </c:pt>
              </c:numCache>
            </c:numRef>
          </c:val>
          <c:smooth val="0"/>
          <c:extLst>
            <c:ext xmlns:c16="http://schemas.microsoft.com/office/drawing/2014/chart" uri="{C3380CC4-5D6E-409C-BE32-E72D297353CC}">
              <c16:uniqueId val="{00000001-41B4-434B-A1E1-FCC0840EEA9B}"/>
            </c:ext>
          </c:extLst>
        </c:ser>
        <c:ser>
          <c:idx val="5"/>
          <c:order val="5"/>
          <c:tx>
            <c:strRef>
              <c:f>'Pivot - CSP (All)'!$G$3</c:f>
              <c:strCache>
                <c:ptCount val="1"/>
                <c:pt idx="0">
                  <c:v>Target Risk Score (Max)</c:v>
                </c:pt>
              </c:strCache>
            </c:strRef>
          </c:tx>
          <c:spPr>
            <a:ln w="28575" cap="rnd">
              <a:noFill/>
              <a:round/>
            </a:ln>
            <a:effectLst/>
          </c:spPr>
          <c:marker>
            <c:symbol val="circle"/>
            <c:size val="10"/>
            <c:spPr>
              <a:solidFill>
                <a:sysClr val="window" lastClr="FFFFFF"/>
              </a:solidFill>
              <a:ln w="12700">
                <a:solidFill>
                  <a:srgbClr val="4F81BD">
                    <a:lumMod val="60000"/>
                    <a:lumOff val="40000"/>
                  </a:srgbClr>
                </a:solidFill>
              </a:ln>
              <a:effectLst/>
            </c:spPr>
          </c:marker>
          <c:cat>
            <c:strRef>
              <c:f>'Pivot - CSP (All)'!$A$4:$A$20</c:f>
              <c:strCache>
                <c:ptCount val="16"/>
                <c:pt idx="0">
                  <c:v>Data Classification &amp; Handling</c:v>
                </c:pt>
                <c:pt idx="1">
                  <c:v>Third Party Security</c:v>
                </c:pt>
                <c:pt idx="2">
                  <c:v>Incident Response</c:v>
                </c:pt>
                <c:pt idx="3">
                  <c:v>BC/DR</c:v>
                </c:pt>
                <c:pt idx="4">
                  <c:v>Secure Application Development</c:v>
                </c:pt>
                <c:pt idx="5">
                  <c:v>Asset Management</c:v>
                </c:pt>
                <c:pt idx="6">
                  <c:v>Access Control</c:v>
                </c:pt>
                <c:pt idx="7">
                  <c:v>Credential Management</c:v>
                </c:pt>
                <c:pt idx="8">
                  <c:v>Monitoring &amp; Logging</c:v>
                </c:pt>
                <c:pt idx="9">
                  <c:v>Vulnerability Management</c:v>
                </c:pt>
                <c:pt idx="10">
                  <c:v>System Management</c:v>
                </c:pt>
                <c:pt idx="11">
                  <c:v>Network Architecture</c:v>
                </c:pt>
                <c:pt idx="12">
                  <c:v>Network Device Management</c:v>
                </c:pt>
                <c:pt idx="13">
                  <c:v>Application Management</c:v>
                </c:pt>
                <c:pt idx="14">
                  <c:v>Security Awareness</c:v>
                </c:pt>
                <c:pt idx="15">
                  <c:v>Media Security</c:v>
                </c:pt>
              </c:strCache>
            </c:strRef>
          </c:cat>
          <c:val>
            <c:numRef>
              <c:f>'Pivot - CSP (All)'!$G$4:$G$20</c:f>
              <c:numCache>
                <c:formatCode>0.00</c:formatCode>
                <c:ptCount val="16"/>
                <c:pt idx="0">
                  <c:v>6</c:v>
                </c:pt>
                <c:pt idx="1">
                  <c:v>6</c:v>
                </c:pt>
                <c:pt idx="2">
                  <c:v>8</c:v>
                </c:pt>
                <c:pt idx="3">
                  <c:v>6</c:v>
                </c:pt>
                <c:pt idx="4">
                  <c:v>8</c:v>
                </c:pt>
                <c:pt idx="5">
                  <c:v>4</c:v>
                </c:pt>
                <c:pt idx="6">
                  <c:v>8</c:v>
                </c:pt>
                <c:pt idx="7">
                  <c:v>6</c:v>
                </c:pt>
                <c:pt idx="8">
                  <c:v>8</c:v>
                </c:pt>
                <c:pt idx="9">
                  <c:v>8</c:v>
                </c:pt>
                <c:pt idx="10">
                  <c:v>6</c:v>
                </c:pt>
                <c:pt idx="11">
                  <c:v>8</c:v>
                </c:pt>
                <c:pt idx="12">
                  <c:v>8</c:v>
                </c:pt>
                <c:pt idx="13">
                  <c:v>6</c:v>
                </c:pt>
                <c:pt idx="14">
                  <c:v>6</c:v>
                </c:pt>
                <c:pt idx="15">
                  <c:v>6</c:v>
                </c:pt>
              </c:numCache>
            </c:numRef>
          </c:val>
          <c:smooth val="0"/>
          <c:extLst>
            <c:ext xmlns:c16="http://schemas.microsoft.com/office/drawing/2014/chart" uri="{C3380CC4-5D6E-409C-BE32-E72D297353CC}">
              <c16:uniqueId val="{00000002-41B4-434B-A1E1-FCC0840EEA9B}"/>
            </c:ext>
          </c:extLst>
        </c:ser>
        <c:dLbls>
          <c:showLegendKey val="0"/>
          <c:showVal val="0"/>
          <c:showCatName val="0"/>
          <c:showSerName val="0"/>
          <c:showPercent val="0"/>
          <c:showBubbleSize val="0"/>
        </c:dLbls>
        <c:marker val="1"/>
        <c:smooth val="0"/>
        <c:axId val="505419064"/>
        <c:axId val="419364248"/>
      </c:lineChart>
      <c:catAx>
        <c:axId val="505419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419364248"/>
        <c:crosses val="autoZero"/>
        <c:auto val="1"/>
        <c:lblAlgn val="ctr"/>
        <c:lblOffset val="100"/>
        <c:noMultiLvlLbl val="0"/>
      </c:catAx>
      <c:valAx>
        <c:axId val="419364248"/>
        <c:scaling>
          <c:orientation val="minMax"/>
          <c:max val="2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5054190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extLst>
    <c:ext xmlns:c14="http://schemas.microsoft.com/office/drawing/2007/8/2/chart" uri="{781A3756-C4B2-4CAC-9D66-4F8BD8637D16}">
      <c14:pivotOptions>
        <c14:dropZoneFilter val="1"/>
        <c14:dropZonesVisible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[BCU - Risk Register w KRI - Draft - 20240730.xlsx]Pivot - TC!PivotTable1</c:name>
    <c:fmtId val="12"/>
  </c:pivotSource>
  <c:chart>
    <c:title>
      <c:tx>
        <c:rich>
          <a:bodyPr rot="0" spcFirstLastPara="1" vertOverflow="ellipsis" vert="horz" wrap="square" anchor="ctr" anchorCtr="1"/>
          <a:lstStyle/>
          <a:p>
            <a:pPr>
              <a:defRPr sz="2800" b="1" i="0" u="none" strike="noStrike" kern="1200" spc="0" baseline="0">
                <a:solidFill>
                  <a:schemeClr val="tx1">
                    <a:lumMod val="65000"/>
                    <a:lumOff val="35000"/>
                  </a:schemeClr>
                </a:solidFill>
                <a:latin typeface="+mn-lt"/>
                <a:ea typeface="+mn-ea"/>
                <a:cs typeface="+mn-cs"/>
              </a:defRPr>
            </a:pPr>
            <a:r>
              <a:rPr lang="en-US"/>
              <a:t>Risk Score by Threat Cluster</a:t>
            </a:r>
          </a:p>
        </c:rich>
      </c:tx>
      <c:overlay val="0"/>
      <c:spPr>
        <a:noFill/>
        <a:ln>
          <a:noFill/>
        </a:ln>
        <a:effectLst/>
      </c:spPr>
      <c:txPr>
        <a:bodyPr rot="0" spcFirstLastPara="1" vertOverflow="ellipsis" vert="horz" wrap="square" anchor="ctr" anchorCtr="1"/>
        <a:lstStyle/>
        <a:p>
          <a:pPr>
            <a:defRPr sz="2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noFill/>
            <a:round/>
          </a:ln>
          <a:effectLst>
            <a:outerShdw blurRad="50800" dist="38100" dir="2700000" algn="tl" rotWithShape="0">
              <a:prstClr val="black">
                <a:alpha val="40000"/>
              </a:prstClr>
            </a:outerShdw>
          </a:effectLst>
        </c:spPr>
        <c:marker>
          <c:symbol val="circle"/>
          <c:size val="10"/>
          <c:spPr>
            <a:solidFill>
              <a:schemeClr val="accent2"/>
            </a:solidFill>
            <a:ln w="9525">
              <a:solidFill>
                <a:schemeClr val="accent2"/>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lumMod val="60000"/>
              <a:lumOff val="40000"/>
            </a:schemeClr>
          </a:solidFill>
          <a:ln cap="flat">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noFill/>
            <a:round/>
          </a:ln>
          <a:effectLst>
            <a:outerShdw blurRad="50800" dist="38100" dir="2700000" algn="tl" rotWithShape="0">
              <a:prstClr val="black">
                <a:alpha val="40000"/>
              </a:prstClr>
            </a:outerShdw>
          </a:effectLst>
        </c:spPr>
        <c:marker>
          <c:symbol val="circle"/>
          <c:size val="10"/>
          <c:spPr>
            <a:solidFill>
              <a:schemeClr val="accent2">
                <a:lumMod val="40000"/>
                <a:lumOff val="60000"/>
              </a:schemeClr>
            </a:solidFill>
            <a:ln w="9525">
              <a:solidFill>
                <a:schemeClr val="accent2">
                  <a:lumMod val="40000"/>
                  <a:lumOff val="60000"/>
                </a:schemeClr>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noFill/>
          <a:ln w="25400" cap="flat">
            <a:gradFill flip="none" rotWithShape="1">
              <a:gsLst>
                <a:gs pos="0">
                  <a:schemeClr val="accent1">
                    <a:lumMod val="60000"/>
                    <a:lumOff val="40000"/>
                  </a:schemeClr>
                </a:gs>
                <a:gs pos="38000">
                  <a:schemeClr val="accent6"/>
                </a:gs>
                <a:gs pos="67000">
                  <a:schemeClr val="accent6"/>
                </a:gs>
                <a:gs pos="100000">
                  <a:schemeClr val="accent6"/>
                </a:gs>
              </a:gsLst>
              <a:lin ang="16200000" scaled="1"/>
              <a:tileRect/>
            </a:gra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noFill/>
            <a:round/>
          </a:ln>
          <a:effectLst>
            <a:outerShdw blurRad="50800" dist="38100" dir="2700000" algn="tl" rotWithShape="0">
              <a:prstClr val="black">
                <a:alpha val="40000"/>
              </a:prstClr>
            </a:outerShdw>
          </a:effectLst>
        </c:spPr>
        <c:marker>
          <c:symbol val="circle"/>
          <c:size val="11"/>
          <c:spPr>
            <a:noFill/>
            <a:ln w="9525">
              <a:solidFill>
                <a:schemeClr val="accent6"/>
              </a:solidFill>
            </a:ln>
            <a:effectLst>
              <a:outerShdw blurRad="50800" dist="38100" dir="2700000" algn="tl" rotWithShape="0">
                <a:prstClr val="black">
                  <a:alpha val="4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noFill/>
          <a:ln w="12700">
            <a:solidFill>
              <a:srgbClr val="4F81BD">
                <a:lumMod val="75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rgbClr val="4F81BD">
              <a:lumMod val="60000"/>
              <a:lumOff val="40000"/>
            </a:srgbClr>
          </a:solidFill>
          <a:ln w="12700">
            <a:solidFill>
              <a:srgbClr val="4F81BD">
                <a:lumMod val="60000"/>
                <a:lumOff val="40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rgbClr val="FFC000"/>
          </a:solidFill>
          <a:ln w="12700" cap="flat">
            <a:solidFill>
              <a:srgbClr val="FFC000">
                <a:alpha val="75000"/>
              </a:srgbClr>
            </a:soli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noFill/>
            <a:round/>
          </a:ln>
          <a:effectLst/>
        </c:spPr>
        <c:marker>
          <c:symbol val="circle"/>
          <c:size val="10"/>
          <c:spPr>
            <a:solidFill>
              <a:sysClr val="window" lastClr="FFFFFF"/>
            </a:solidFill>
            <a:ln w="9525">
              <a:solidFill>
                <a:srgbClr val="4F81BD">
                  <a:lumMod val="75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noFill/>
            <a:round/>
          </a:ln>
          <a:effectLst/>
        </c:spPr>
        <c:marker>
          <c:symbol val="circle"/>
          <c:size val="10"/>
          <c:spPr>
            <a:solidFill>
              <a:sysClr val="window" lastClr="FFFFFF"/>
            </a:solidFill>
            <a:ln w="12700">
              <a:solidFill>
                <a:srgbClr val="4F81BD">
                  <a:lumMod val="60000"/>
                  <a:lumOff val="40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noFill/>
            <a:round/>
          </a:ln>
          <a:effectLst/>
        </c:spPr>
        <c:marker>
          <c:symbol val="circle"/>
          <c:size val="10"/>
          <c:spPr>
            <a:solidFill>
              <a:srgbClr val="FFC000"/>
            </a:solidFill>
            <a:ln w="12700">
              <a:solidFill>
                <a:srgbClr val="FFC000"/>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noFill/>
          <a:ln w="12700">
            <a:solidFill>
              <a:srgbClr val="4F81BD">
                <a:lumMod val="75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rgbClr val="FFC000"/>
          </a:solidFill>
          <a:ln w="12700" cap="flat">
            <a:solidFill>
              <a:srgbClr val="FFC000">
                <a:alpha val="75000"/>
              </a:srgbClr>
            </a:solidFill>
          </a:ln>
          <a:effectLst>
            <a:outerShdw blurRad="50800" dist="38100" dir="5400000" algn="t"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rgbClr val="4F81BD">
              <a:lumMod val="60000"/>
              <a:lumOff val="40000"/>
            </a:srgbClr>
          </a:solidFill>
          <a:ln w="12700">
            <a:solidFill>
              <a:srgbClr val="4F81BD">
                <a:lumMod val="60000"/>
                <a:lumOff val="40000"/>
              </a:srgbClr>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ln w="60325" cap="rnd">
            <a:solidFill>
              <a:schemeClr val="accent3"/>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ln w="28575" cap="rnd">
            <a:noFill/>
            <a:round/>
          </a:ln>
          <a:effectLst/>
        </c:spPr>
        <c:marker>
          <c:symbol val="circle"/>
          <c:size val="10"/>
          <c:spPr>
            <a:solidFill>
              <a:sysClr val="window" lastClr="FFFFFF"/>
            </a:solidFill>
            <a:ln w="9525">
              <a:solidFill>
                <a:srgbClr val="4F81BD">
                  <a:lumMod val="75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ln w="28575" cap="rnd">
            <a:noFill/>
            <a:round/>
          </a:ln>
          <a:effectLst/>
        </c:spPr>
        <c:marker>
          <c:symbol val="circle"/>
          <c:size val="10"/>
          <c:spPr>
            <a:solidFill>
              <a:srgbClr val="FFC000"/>
            </a:solidFill>
            <a:ln w="12700">
              <a:solidFill>
                <a:srgbClr val="FFC000"/>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ln w="28575" cap="rnd">
            <a:noFill/>
            <a:round/>
          </a:ln>
          <a:effectLst/>
        </c:spPr>
        <c:marker>
          <c:symbol val="circle"/>
          <c:size val="10"/>
          <c:spPr>
            <a:solidFill>
              <a:sysClr val="window" lastClr="FFFFFF"/>
            </a:solidFill>
            <a:ln w="12700">
              <a:solidFill>
                <a:srgbClr val="4F81BD">
                  <a:lumMod val="60000"/>
                  <a:lumOff val="40000"/>
                </a:srgb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2"/>
          <c:order val="2"/>
          <c:tx>
            <c:strRef>
              <c:f>'Pivot - TC'!$D$3</c:f>
              <c:strCache>
                <c:ptCount val="1"/>
                <c:pt idx="0">
                  <c:v>Initial Risk Score (Avg)</c:v>
                </c:pt>
              </c:strCache>
            </c:strRef>
          </c:tx>
          <c:spPr>
            <a:noFill/>
            <a:ln w="12700">
              <a:solidFill>
                <a:srgbClr val="4F81BD">
                  <a:lumMod val="75000"/>
                </a:srgbClr>
              </a:solidFill>
            </a:ln>
            <a:effectLst/>
          </c:spPr>
          <c:invertIfNegative val="0"/>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TC'!$D$4:$D$13</c:f>
              <c:numCache>
                <c:formatCode>0.00</c:formatCode>
                <c:ptCount val="9"/>
                <c:pt idx="0">
                  <c:v>6.7608695652173916</c:v>
                </c:pt>
                <c:pt idx="1">
                  <c:v>4.7894736842105265</c:v>
                </c:pt>
                <c:pt idx="2">
                  <c:v>2.5</c:v>
                </c:pt>
                <c:pt idx="3">
                  <c:v>5.8181818181818183</c:v>
                </c:pt>
                <c:pt idx="4">
                  <c:v>4.4117647058823533</c:v>
                </c:pt>
                <c:pt idx="5">
                  <c:v>6</c:v>
                </c:pt>
                <c:pt idx="6">
                  <c:v>2</c:v>
                </c:pt>
                <c:pt idx="7">
                  <c:v>3.75</c:v>
                </c:pt>
                <c:pt idx="8">
                  <c:v>5.5384615384615383</c:v>
                </c:pt>
              </c:numCache>
            </c:numRef>
          </c:val>
          <c:extLst>
            <c:ext xmlns:c16="http://schemas.microsoft.com/office/drawing/2014/chart" uri="{C3380CC4-5D6E-409C-BE32-E72D297353CC}">
              <c16:uniqueId val="{00000004-41B4-434B-A1E1-FCC0840EEA9B}"/>
            </c:ext>
          </c:extLst>
        </c:ser>
        <c:ser>
          <c:idx val="4"/>
          <c:order val="4"/>
          <c:tx>
            <c:strRef>
              <c:f>'Pivot - TC'!$F$3</c:f>
              <c:strCache>
                <c:ptCount val="1"/>
                <c:pt idx="0">
                  <c:v>Current Risk Score (Avg)</c:v>
                </c:pt>
              </c:strCache>
            </c:strRef>
          </c:tx>
          <c:spPr>
            <a:solidFill>
              <a:srgbClr val="FFC000"/>
            </a:solidFill>
            <a:ln w="12700" cap="flat">
              <a:solidFill>
                <a:srgbClr val="FFC000">
                  <a:alpha val="75000"/>
                </a:srgbClr>
              </a:solidFill>
            </a:ln>
            <a:effectLst>
              <a:outerShdw blurRad="50800" dist="38100" dir="5400000" algn="t" rotWithShape="0">
                <a:prstClr val="black">
                  <a:alpha val="40000"/>
                </a:prstClr>
              </a:outerShdw>
            </a:effectLst>
          </c:spPr>
          <c:invertIfNegative val="0"/>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TC'!$F$4:$F$13</c:f>
              <c:numCache>
                <c:formatCode>0.00</c:formatCode>
                <c:ptCount val="9"/>
                <c:pt idx="0">
                  <c:v>6.7608695652173916</c:v>
                </c:pt>
                <c:pt idx="1">
                  <c:v>4.7894736842105265</c:v>
                </c:pt>
                <c:pt idx="2">
                  <c:v>2.5</c:v>
                </c:pt>
                <c:pt idx="3">
                  <c:v>5.8181818181818183</c:v>
                </c:pt>
                <c:pt idx="4">
                  <c:v>4.4117647058823533</c:v>
                </c:pt>
                <c:pt idx="5">
                  <c:v>6</c:v>
                </c:pt>
                <c:pt idx="6">
                  <c:v>2</c:v>
                </c:pt>
                <c:pt idx="7">
                  <c:v>3.75</c:v>
                </c:pt>
                <c:pt idx="8">
                  <c:v>5.5384615384615383</c:v>
                </c:pt>
              </c:numCache>
            </c:numRef>
          </c:val>
          <c:extLst>
            <c:ext xmlns:c16="http://schemas.microsoft.com/office/drawing/2014/chart" uri="{C3380CC4-5D6E-409C-BE32-E72D297353CC}">
              <c16:uniqueId val="{00000005-41B4-434B-A1E1-FCC0840EEA9B}"/>
            </c:ext>
          </c:extLst>
        </c:ser>
        <c:ser>
          <c:idx val="6"/>
          <c:order val="6"/>
          <c:tx>
            <c:strRef>
              <c:f>'Pivot - TC'!$H$3</c:f>
              <c:strCache>
                <c:ptCount val="1"/>
                <c:pt idx="0">
                  <c:v>Target Risk Score (Avg)</c:v>
                </c:pt>
              </c:strCache>
            </c:strRef>
          </c:tx>
          <c:spPr>
            <a:solidFill>
              <a:srgbClr val="4F81BD">
                <a:lumMod val="60000"/>
                <a:lumOff val="40000"/>
              </a:srgbClr>
            </a:solidFill>
            <a:ln w="12700">
              <a:solidFill>
                <a:srgbClr val="4F81BD">
                  <a:lumMod val="60000"/>
                  <a:lumOff val="40000"/>
                </a:srgbClr>
              </a:solidFill>
            </a:ln>
            <a:effectLst/>
          </c:spPr>
          <c:invertIfNegative val="0"/>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TC'!$H$4:$H$13</c:f>
              <c:numCache>
                <c:formatCode>0.00</c:formatCode>
                <c:ptCount val="9"/>
                <c:pt idx="0">
                  <c:v>5.7608695652173916</c:v>
                </c:pt>
                <c:pt idx="1">
                  <c:v>3.736842105263158</c:v>
                </c:pt>
                <c:pt idx="2">
                  <c:v>2.5</c:v>
                </c:pt>
                <c:pt idx="3">
                  <c:v>5.7272727272727275</c:v>
                </c:pt>
                <c:pt idx="4">
                  <c:v>4.2352941176470589</c:v>
                </c:pt>
                <c:pt idx="5">
                  <c:v>6</c:v>
                </c:pt>
                <c:pt idx="6">
                  <c:v>2</c:v>
                </c:pt>
                <c:pt idx="7">
                  <c:v>3.75</c:v>
                </c:pt>
                <c:pt idx="8">
                  <c:v>4.615384615384615</c:v>
                </c:pt>
              </c:numCache>
            </c:numRef>
          </c:val>
          <c:extLst>
            <c:ext xmlns:c16="http://schemas.microsoft.com/office/drawing/2014/chart" uri="{C3380CC4-5D6E-409C-BE32-E72D297353CC}">
              <c16:uniqueId val="{00000006-41B4-434B-A1E1-FCC0840EEA9B}"/>
            </c:ext>
          </c:extLst>
        </c:ser>
        <c:dLbls>
          <c:showLegendKey val="0"/>
          <c:showVal val="0"/>
          <c:showCatName val="0"/>
          <c:showSerName val="0"/>
          <c:showPercent val="0"/>
          <c:showBubbleSize val="0"/>
        </c:dLbls>
        <c:gapWidth val="150"/>
        <c:overlap val="100"/>
        <c:axId val="505419064"/>
        <c:axId val="419364248"/>
      </c:barChart>
      <c:lineChart>
        <c:grouping val="standard"/>
        <c:varyColors val="0"/>
        <c:ser>
          <c:idx val="0"/>
          <c:order val="0"/>
          <c:tx>
            <c:strRef>
              <c:f>'Pivot - TC'!$B$3</c:f>
              <c:strCache>
                <c:ptCount val="1"/>
                <c:pt idx="0">
                  <c:v>Acceptable Risk Level</c:v>
                </c:pt>
              </c:strCache>
            </c:strRef>
          </c:tx>
          <c:spPr>
            <a:ln w="60325" cap="rnd">
              <a:solidFill>
                <a:schemeClr val="accent3"/>
              </a:solidFill>
              <a:round/>
            </a:ln>
            <a:effectLst/>
          </c:spPr>
          <c:marker>
            <c:symbol val="none"/>
          </c:marker>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TC'!$B$4:$B$13</c:f>
              <c:numCache>
                <c:formatCode>0</c:formatCode>
                <c:ptCount val="9"/>
                <c:pt idx="0">
                  <c:v>9</c:v>
                </c:pt>
                <c:pt idx="1">
                  <c:v>9</c:v>
                </c:pt>
                <c:pt idx="2">
                  <c:v>9</c:v>
                </c:pt>
                <c:pt idx="3">
                  <c:v>9</c:v>
                </c:pt>
                <c:pt idx="4">
                  <c:v>9</c:v>
                </c:pt>
                <c:pt idx="5">
                  <c:v>9</c:v>
                </c:pt>
                <c:pt idx="6">
                  <c:v>9</c:v>
                </c:pt>
                <c:pt idx="7">
                  <c:v>9</c:v>
                </c:pt>
                <c:pt idx="8">
                  <c:v>9</c:v>
                </c:pt>
              </c:numCache>
            </c:numRef>
          </c:val>
          <c:smooth val="0"/>
          <c:extLst>
            <c:ext xmlns:c16="http://schemas.microsoft.com/office/drawing/2014/chart" uri="{C3380CC4-5D6E-409C-BE32-E72D297353CC}">
              <c16:uniqueId val="{00000000-41B4-434B-A1E1-FCC0840EEA9B}"/>
            </c:ext>
          </c:extLst>
        </c:ser>
        <c:ser>
          <c:idx val="1"/>
          <c:order val="1"/>
          <c:tx>
            <c:strRef>
              <c:f>'Pivot - TC'!$C$3</c:f>
              <c:strCache>
                <c:ptCount val="1"/>
                <c:pt idx="0">
                  <c:v>Initial Risk Score (Max)</c:v>
                </c:pt>
              </c:strCache>
            </c:strRef>
          </c:tx>
          <c:spPr>
            <a:ln w="28575" cap="rnd">
              <a:noFill/>
              <a:round/>
            </a:ln>
            <a:effectLst/>
          </c:spPr>
          <c:marker>
            <c:symbol val="circle"/>
            <c:size val="10"/>
            <c:spPr>
              <a:solidFill>
                <a:sysClr val="window" lastClr="FFFFFF"/>
              </a:solidFill>
              <a:ln w="9525">
                <a:solidFill>
                  <a:srgbClr val="4F81BD">
                    <a:lumMod val="75000"/>
                  </a:srgbClr>
                </a:solidFill>
              </a:ln>
              <a:effectLst/>
            </c:spPr>
          </c:marker>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TC'!$C$4:$C$13</c:f>
              <c:numCache>
                <c:formatCode>0.00</c:formatCode>
                <c:ptCount val="9"/>
                <c:pt idx="0">
                  <c:v>16</c:v>
                </c:pt>
                <c:pt idx="1">
                  <c:v>16</c:v>
                </c:pt>
                <c:pt idx="2">
                  <c:v>3</c:v>
                </c:pt>
                <c:pt idx="3">
                  <c:v>9</c:v>
                </c:pt>
                <c:pt idx="4">
                  <c:v>9</c:v>
                </c:pt>
                <c:pt idx="5">
                  <c:v>6</c:v>
                </c:pt>
                <c:pt idx="6">
                  <c:v>2</c:v>
                </c:pt>
                <c:pt idx="7">
                  <c:v>6</c:v>
                </c:pt>
                <c:pt idx="8">
                  <c:v>12</c:v>
                </c:pt>
              </c:numCache>
            </c:numRef>
          </c:val>
          <c:smooth val="0"/>
          <c:extLst>
            <c:ext xmlns:c16="http://schemas.microsoft.com/office/drawing/2014/chart" uri="{C3380CC4-5D6E-409C-BE32-E72D297353CC}">
              <c16:uniqueId val="{00000003-41B4-434B-A1E1-FCC0840EEA9B}"/>
            </c:ext>
          </c:extLst>
        </c:ser>
        <c:ser>
          <c:idx val="3"/>
          <c:order val="3"/>
          <c:tx>
            <c:strRef>
              <c:f>'Pivot - TC'!$E$3</c:f>
              <c:strCache>
                <c:ptCount val="1"/>
                <c:pt idx="0">
                  <c:v>Current Risk Score (Max)</c:v>
                </c:pt>
              </c:strCache>
            </c:strRef>
          </c:tx>
          <c:spPr>
            <a:ln w="28575" cap="rnd">
              <a:noFill/>
              <a:round/>
            </a:ln>
            <a:effectLst/>
          </c:spPr>
          <c:marker>
            <c:symbol val="circle"/>
            <c:size val="10"/>
            <c:spPr>
              <a:solidFill>
                <a:srgbClr val="FFC000"/>
              </a:solidFill>
              <a:ln w="12700">
                <a:solidFill>
                  <a:srgbClr val="FFC000"/>
                </a:solidFill>
              </a:ln>
              <a:effectLst/>
            </c:spPr>
          </c:marker>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TC'!$E$4:$E$13</c:f>
              <c:numCache>
                <c:formatCode>0.00</c:formatCode>
                <c:ptCount val="9"/>
                <c:pt idx="0">
                  <c:v>16</c:v>
                </c:pt>
                <c:pt idx="1">
                  <c:v>16</c:v>
                </c:pt>
                <c:pt idx="2">
                  <c:v>3</c:v>
                </c:pt>
                <c:pt idx="3">
                  <c:v>9</c:v>
                </c:pt>
                <c:pt idx="4">
                  <c:v>9</c:v>
                </c:pt>
                <c:pt idx="5">
                  <c:v>6</c:v>
                </c:pt>
                <c:pt idx="6">
                  <c:v>2</c:v>
                </c:pt>
                <c:pt idx="7">
                  <c:v>6</c:v>
                </c:pt>
                <c:pt idx="8">
                  <c:v>12</c:v>
                </c:pt>
              </c:numCache>
            </c:numRef>
          </c:val>
          <c:smooth val="0"/>
          <c:extLst>
            <c:ext xmlns:c16="http://schemas.microsoft.com/office/drawing/2014/chart" uri="{C3380CC4-5D6E-409C-BE32-E72D297353CC}">
              <c16:uniqueId val="{00000001-41B4-434B-A1E1-FCC0840EEA9B}"/>
            </c:ext>
          </c:extLst>
        </c:ser>
        <c:ser>
          <c:idx val="5"/>
          <c:order val="5"/>
          <c:tx>
            <c:strRef>
              <c:f>'Pivot - TC'!$G$3</c:f>
              <c:strCache>
                <c:ptCount val="1"/>
                <c:pt idx="0">
                  <c:v>Target Risk Score (Max)</c:v>
                </c:pt>
              </c:strCache>
            </c:strRef>
          </c:tx>
          <c:spPr>
            <a:ln w="28575" cap="rnd">
              <a:noFill/>
              <a:round/>
            </a:ln>
            <a:effectLst/>
          </c:spPr>
          <c:marker>
            <c:symbol val="circle"/>
            <c:size val="10"/>
            <c:spPr>
              <a:solidFill>
                <a:sysClr val="window" lastClr="FFFFFF"/>
              </a:solidFill>
              <a:ln w="12700">
                <a:solidFill>
                  <a:srgbClr val="4F81BD">
                    <a:lumMod val="60000"/>
                    <a:lumOff val="40000"/>
                  </a:srgbClr>
                </a:solidFill>
              </a:ln>
              <a:effectLst/>
            </c:spPr>
          </c:marker>
          <c:cat>
            <c:strRef>
              <c:f>'Pivot - TC'!$A$4:$A$13</c:f>
              <c:strCache>
                <c:ptCount val="9"/>
                <c:pt idx="0">
                  <c:v>Hacking System</c:v>
                </c:pt>
                <c:pt idx="1">
                  <c:v>Hacking Web</c:v>
                </c:pt>
                <c:pt idx="2">
                  <c:v>Malware</c:v>
                </c:pt>
                <c:pt idx="3">
                  <c:v>Personnel Error</c:v>
                </c:pt>
                <c:pt idx="4">
                  <c:v>Personnel Misuse</c:v>
                </c:pt>
                <c:pt idx="5">
                  <c:v>Physical Asset Loss</c:v>
                </c:pt>
                <c:pt idx="6">
                  <c:v>Social engineering</c:v>
                </c:pt>
                <c:pt idx="7">
                  <c:v>System Failure</c:v>
                </c:pt>
                <c:pt idx="8">
                  <c:v>Physical Facility</c:v>
                </c:pt>
              </c:strCache>
            </c:strRef>
          </c:cat>
          <c:val>
            <c:numRef>
              <c:f>'Pivot - TC'!$G$4:$G$13</c:f>
              <c:numCache>
                <c:formatCode>0.00</c:formatCode>
                <c:ptCount val="9"/>
                <c:pt idx="0">
                  <c:v>8</c:v>
                </c:pt>
                <c:pt idx="1">
                  <c:v>8</c:v>
                </c:pt>
                <c:pt idx="2">
                  <c:v>3</c:v>
                </c:pt>
                <c:pt idx="3">
                  <c:v>8</c:v>
                </c:pt>
                <c:pt idx="4">
                  <c:v>8</c:v>
                </c:pt>
                <c:pt idx="5">
                  <c:v>6</c:v>
                </c:pt>
                <c:pt idx="6">
                  <c:v>2</c:v>
                </c:pt>
                <c:pt idx="7">
                  <c:v>6</c:v>
                </c:pt>
                <c:pt idx="8">
                  <c:v>8</c:v>
                </c:pt>
              </c:numCache>
            </c:numRef>
          </c:val>
          <c:smooth val="0"/>
          <c:extLst>
            <c:ext xmlns:c16="http://schemas.microsoft.com/office/drawing/2014/chart" uri="{C3380CC4-5D6E-409C-BE32-E72D297353CC}">
              <c16:uniqueId val="{00000002-41B4-434B-A1E1-FCC0840EEA9B}"/>
            </c:ext>
          </c:extLst>
        </c:ser>
        <c:dLbls>
          <c:showLegendKey val="0"/>
          <c:showVal val="0"/>
          <c:showCatName val="0"/>
          <c:showSerName val="0"/>
          <c:showPercent val="0"/>
          <c:showBubbleSize val="0"/>
        </c:dLbls>
        <c:marker val="1"/>
        <c:smooth val="0"/>
        <c:axId val="505419064"/>
        <c:axId val="419364248"/>
      </c:lineChart>
      <c:catAx>
        <c:axId val="505419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419364248"/>
        <c:crosses val="autoZero"/>
        <c:auto val="1"/>
        <c:lblAlgn val="ctr"/>
        <c:lblOffset val="100"/>
        <c:noMultiLvlLbl val="0"/>
      </c:catAx>
      <c:valAx>
        <c:axId val="419364248"/>
        <c:scaling>
          <c:orientation val="minMax"/>
          <c:max val="2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5054190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extLst>
    <c:ext xmlns:c14="http://schemas.microsoft.com/office/drawing/2007/8/2/chart" uri="{781A3756-C4B2-4CAC-9D66-4F8BD8637D16}">
      <c14:pivotOptions>
        <c14:dropZoneFilter val="1"/>
        <c14:dropZonesVisible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53B7-41D7-B5E7-5DF21416A458}"/>
              </c:ext>
            </c:extLst>
          </c:dPt>
          <c:val>
            <c:numRef>
              <c:f>'KRI Analytics'!$D$54</c:f>
              <c:numCache>
                <c:formatCode>0</c:formatCode>
                <c:ptCount val="1"/>
                <c:pt idx="0">
                  <c:v>9</c:v>
                </c:pt>
              </c:numCache>
            </c:numRef>
          </c:val>
          <c:extLst>
            <c:ext xmlns:c16="http://schemas.microsoft.com/office/drawing/2014/chart" uri="{C3380CC4-5D6E-409C-BE32-E72D297353CC}">
              <c16:uniqueId val="{00000002-53B7-41D7-B5E7-5DF21416A458}"/>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53B7-41D7-B5E7-5DF21416A458}"/>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53B7-41D7-B5E7-5DF21416A458}"/>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Analytics'!$H$19</c:f>
              <c:numCache>
                <c:formatCode>General</c:formatCode>
                <c:ptCount val="1"/>
                <c:pt idx="0">
                  <c:v>11</c:v>
                </c:pt>
              </c:numCache>
            </c:numRef>
          </c:val>
          <c:extLst>
            <c:ext xmlns:c16="http://schemas.microsoft.com/office/drawing/2014/chart" uri="{C3380CC4-5D6E-409C-BE32-E72D297353CC}">
              <c16:uniqueId val="{00000005-53B7-41D7-B5E7-5DF21416A458}"/>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53B7-41D7-B5E7-5DF21416A458}"/>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0275-4020-9739-213E10ABDAD4}"/>
              </c:ext>
            </c:extLst>
          </c:dPt>
          <c:val>
            <c:numRef>
              <c:f>'KRI Analytics'!$D$54</c:f>
              <c:numCache>
                <c:formatCode>0</c:formatCode>
                <c:ptCount val="1"/>
                <c:pt idx="0">
                  <c:v>9</c:v>
                </c:pt>
              </c:numCache>
            </c:numRef>
          </c:val>
          <c:extLst>
            <c:ext xmlns:c16="http://schemas.microsoft.com/office/drawing/2014/chart" uri="{C3380CC4-5D6E-409C-BE32-E72D297353CC}">
              <c16:uniqueId val="{00000002-0275-4020-9739-213E10ABDAD4}"/>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0275-4020-9739-213E10ABDAD4}"/>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0275-4020-9739-213E10ABDAD4}"/>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Analytics'!$H$20</c:f>
              <c:numCache>
                <c:formatCode>General</c:formatCode>
                <c:ptCount val="1"/>
                <c:pt idx="0">
                  <c:v>29</c:v>
                </c:pt>
              </c:numCache>
            </c:numRef>
          </c:val>
          <c:extLst>
            <c:ext xmlns:c16="http://schemas.microsoft.com/office/drawing/2014/chart" uri="{C3380CC4-5D6E-409C-BE32-E72D297353CC}">
              <c16:uniqueId val="{00000005-0275-4020-9739-213E10ABDAD4}"/>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0275-4020-9739-213E10ABDAD4}"/>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'KRI Analytics'!$D$53</c:f>
              <c:strCache>
                <c:ptCount val="1"/>
                <c:pt idx="0">
                  <c:v>Acceptable Level of Risk</c:v>
                </c:pt>
              </c:strCache>
            </c:strRef>
          </c:tx>
          <c:spPr>
            <a:solidFill>
              <a:schemeClr val="accent2"/>
            </a:solidFill>
            <a:ln>
              <a:noFill/>
            </a:ln>
            <a:effectLst>
              <a:outerShdw blurRad="40000" dist="23000" dir="5400000" rotWithShape="0">
                <a:srgbClr val="000000">
                  <a:alpha val="35000"/>
                </a:srgbClr>
              </a:outerShdw>
            </a:effectLst>
          </c:spPr>
          <c:invertIfNegative val="0"/>
          <c:dPt>
            <c:idx val="0"/>
            <c:invertIfNegative val="0"/>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flat" cmpd="sng" algn="ctr">
                <a:solidFill>
                  <a:schemeClr val="accent3">
                    <a:shade val="95000"/>
                    <a:satMod val="105000"/>
                  </a:schemeClr>
                </a:solidFill>
                <a:prstDash val="solid"/>
              </a:ln>
              <a:effectLst>
                <a:outerShdw blurRad="40000" dist="23000" dir="5400000" rotWithShape="0">
                  <a:srgbClr val="000000">
                    <a:alpha val="35000"/>
                  </a:srgbClr>
                </a:outerShdw>
              </a:effectLst>
            </c:spPr>
            <c:extLst>
              <c:ext xmlns:c16="http://schemas.microsoft.com/office/drawing/2014/chart" uri="{C3380CC4-5D6E-409C-BE32-E72D297353CC}">
                <c16:uniqueId val="{00000001-4E3E-468E-8BE0-DD8901B11768}"/>
              </c:ext>
            </c:extLst>
          </c:dPt>
          <c:val>
            <c:numRef>
              <c:f>'KRI Analytics'!$D$54</c:f>
              <c:numCache>
                <c:formatCode>0</c:formatCode>
                <c:ptCount val="1"/>
                <c:pt idx="0">
                  <c:v>9</c:v>
                </c:pt>
              </c:numCache>
            </c:numRef>
          </c:val>
          <c:extLst>
            <c:ext xmlns:c16="http://schemas.microsoft.com/office/drawing/2014/chart" uri="{C3380CC4-5D6E-409C-BE32-E72D297353CC}">
              <c16:uniqueId val="{00000002-4E3E-468E-8BE0-DD8901B11768}"/>
            </c:ext>
          </c:extLst>
        </c:ser>
        <c:ser>
          <c:idx val="1"/>
          <c:order val="1"/>
          <c:tx>
            <c:strRef>
              <c:f>'KRI Analytics'!$E$53</c:f>
              <c:strCache>
                <c:ptCount val="1"/>
                <c:pt idx="0">
                  <c:v>High Risk Bar</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cap="flat" cmpd="sng" algn="ctr">
              <a:solidFill>
                <a:schemeClr val="accent6">
                  <a:shade val="95000"/>
                  <a:satMod val="105000"/>
                </a:schemeClr>
              </a:solidFill>
              <a:prstDash val="solid"/>
            </a:ln>
            <a:effectLst>
              <a:outerShdw blurRad="40000" dist="23000" dir="5400000" rotWithShape="0">
                <a:srgbClr val="000000">
                  <a:alpha val="35000"/>
                </a:srgbClr>
              </a:outerShdw>
            </a:effectLst>
          </c:spPr>
          <c:invertIfNegative val="0"/>
          <c:val>
            <c:numRef>
              <c:f>'KRI Analytics'!$E$54</c:f>
              <c:numCache>
                <c:formatCode>0</c:formatCode>
                <c:ptCount val="1"/>
                <c:pt idx="0">
                  <c:v>6</c:v>
                </c:pt>
              </c:numCache>
            </c:numRef>
          </c:val>
          <c:extLst>
            <c:ext xmlns:c16="http://schemas.microsoft.com/office/drawing/2014/chart" uri="{C3380CC4-5D6E-409C-BE32-E72D297353CC}">
              <c16:uniqueId val="{00000003-4E3E-468E-8BE0-DD8901B11768}"/>
            </c:ext>
          </c:extLst>
        </c:ser>
        <c:ser>
          <c:idx val="2"/>
          <c:order val="2"/>
          <c:tx>
            <c:strRef>
              <c:f>'KRI Analytics'!$F$53</c:f>
              <c:strCache>
                <c:ptCount val="1"/>
                <c:pt idx="0">
                  <c:v>Critical Risk Bar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flat" cmpd="sng" algn="ctr">
              <a:solidFill>
                <a:schemeClr val="accent2">
                  <a:shade val="95000"/>
                  <a:satMod val="105000"/>
                </a:schemeClr>
              </a:solidFill>
              <a:prstDash val="solid"/>
            </a:ln>
            <a:effectLst>
              <a:outerShdw blurRad="40000" dist="23000" dir="5400000" rotWithShape="0">
                <a:srgbClr val="000000">
                  <a:alpha val="35000"/>
                </a:srgbClr>
              </a:outerShdw>
            </a:effectLst>
          </c:spPr>
          <c:invertIfNegative val="0"/>
          <c:val>
            <c:numRef>
              <c:f>'KRI Analytics'!$F$54</c:f>
              <c:numCache>
                <c:formatCode>0</c:formatCode>
                <c:ptCount val="1"/>
                <c:pt idx="0">
                  <c:v>10</c:v>
                </c:pt>
              </c:numCache>
            </c:numRef>
          </c:val>
          <c:extLst>
            <c:ext xmlns:c16="http://schemas.microsoft.com/office/drawing/2014/chart" uri="{C3380CC4-5D6E-409C-BE32-E72D297353CC}">
              <c16:uniqueId val="{00000004-4E3E-468E-8BE0-DD8901B11768}"/>
            </c:ext>
          </c:extLst>
        </c:ser>
        <c:dLbls>
          <c:showLegendKey val="0"/>
          <c:showVal val="0"/>
          <c:showCatName val="0"/>
          <c:showSerName val="0"/>
          <c:showPercent val="0"/>
          <c:showBubbleSize val="0"/>
        </c:dLbls>
        <c:gapWidth val="150"/>
        <c:overlap val="100"/>
        <c:axId val="1280368383"/>
        <c:axId val="1280368799"/>
      </c:barChart>
      <c:barChart>
        <c:barDir val="bar"/>
        <c:grouping val="stacked"/>
        <c:varyColors val="0"/>
        <c:ser>
          <c:idx val="3"/>
          <c:order val="3"/>
          <c:tx>
            <c:strRef>
              <c:f>'KRI Analytics'!$H$18</c:f>
              <c:strCache>
                <c:ptCount val="1"/>
                <c:pt idx="0">
                  <c:v>Display Risk Level</c:v>
                </c:pt>
              </c:strCache>
            </c:strRef>
          </c:tx>
          <c:spPr>
            <a:noFill/>
            <a:ln>
              <a:noFill/>
            </a:ln>
            <a:effectLst/>
          </c:spPr>
          <c:invertIfNegative val="0"/>
          <c:val>
            <c:numRef>
              <c:f>'KRI Analytics'!$H$21</c:f>
              <c:numCache>
                <c:formatCode>General</c:formatCode>
                <c:ptCount val="1"/>
                <c:pt idx="0">
                  <c:v>5</c:v>
                </c:pt>
              </c:numCache>
            </c:numRef>
          </c:val>
          <c:extLst>
            <c:ext xmlns:c16="http://schemas.microsoft.com/office/drawing/2014/chart" uri="{C3380CC4-5D6E-409C-BE32-E72D297353CC}">
              <c16:uniqueId val="{00000005-4E3E-468E-8BE0-DD8901B11768}"/>
            </c:ext>
          </c:extLst>
        </c:ser>
        <c:ser>
          <c:idx val="4"/>
          <c:order val="4"/>
          <c:tx>
            <c:strRef>
              <c:f>'KRI Analytics'!$C$53</c:f>
              <c:strCache>
                <c:ptCount val="1"/>
                <c:pt idx="0">
                  <c:v>Indicator Width</c:v>
                </c:pt>
              </c:strCache>
            </c:strRef>
          </c:tx>
          <c:spPr>
            <a:blipFill>
              <a:blip xmlns:r="http://schemas.openxmlformats.org/officeDocument/2006/relationships" r:embed="rId3"/>
              <a:stretch>
                <a:fillRect/>
              </a:stretch>
            </a:blipFill>
            <a:ln>
              <a:noFill/>
            </a:ln>
            <a:effectLst/>
          </c:spPr>
          <c:invertIfNegative val="0"/>
          <c:val>
            <c:numRef>
              <c:f>'KRI Analytics'!$C$54</c:f>
              <c:numCache>
                <c:formatCode>General</c:formatCode>
                <c:ptCount val="1"/>
                <c:pt idx="0">
                  <c:v>2</c:v>
                </c:pt>
              </c:numCache>
            </c:numRef>
          </c:val>
          <c:extLst>
            <c:ext xmlns:c16="http://schemas.microsoft.com/office/drawing/2014/chart" uri="{C3380CC4-5D6E-409C-BE32-E72D297353CC}">
              <c16:uniqueId val="{00000006-4E3E-468E-8BE0-DD8901B11768}"/>
            </c:ext>
          </c:extLst>
        </c:ser>
        <c:dLbls>
          <c:showLegendKey val="0"/>
          <c:showVal val="0"/>
          <c:showCatName val="0"/>
          <c:showSerName val="0"/>
          <c:showPercent val="0"/>
          <c:showBubbleSize val="0"/>
        </c:dLbls>
        <c:gapWidth val="4"/>
        <c:overlap val="100"/>
        <c:axId val="1280365055"/>
        <c:axId val="1280371295"/>
      </c:barChart>
      <c:catAx>
        <c:axId val="1280368383"/>
        <c:scaling>
          <c:orientation val="minMax"/>
        </c:scaling>
        <c:delete val="1"/>
        <c:axPos val="l"/>
        <c:majorTickMark val="none"/>
        <c:minorTickMark val="none"/>
        <c:tickLblPos val="nextTo"/>
        <c:crossAx val="1280368799"/>
        <c:crosses val="autoZero"/>
        <c:auto val="1"/>
        <c:lblAlgn val="ctr"/>
        <c:lblOffset val="100"/>
        <c:noMultiLvlLbl val="0"/>
      </c:catAx>
      <c:valAx>
        <c:axId val="1280368799"/>
        <c:scaling>
          <c:orientation val="minMax"/>
          <c:max val="25"/>
        </c:scaling>
        <c:delete val="0"/>
        <c:axPos val="b"/>
        <c:numFmt formatCode="0" sourceLinked="1"/>
        <c:majorTickMark val="none"/>
        <c:minorTickMark val="out"/>
        <c:tickLblPos val="nextTo"/>
        <c:spPr>
          <a:noFill/>
          <a:ln>
            <a:solidFill>
              <a:schemeClr val="accent1">
                <a:shade val="50000"/>
              </a:schemeClr>
            </a:solid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280368383"/>
        <c:crosses val="autoZero"/>
        <c:crossBetween val="between"/>
      </c:valAx>
      <c:valAx>
        <c:axId val="1280371295"/>
        <c:scaling>
          <c:orientation val="minMax"/>
          <c:max val="25"/>
        </c:scaling>
        <c:delete val="1"/>
        <c:axPos val="t"/>
        <c:numFmt formatCode="General" sourceLinked="1"/>
        <c:majorTickMark val="out"/>
        <c:minorTickMark val="none"/>
        <c:tickLblPos val="nextTo"/>
        <c:crossAx val="1280365055"/>
        <c:crosses val="max"/>
        <c:crossBetween val="between"/>
      </c:valAx>
      <c:catAx>
        <c:axId val="1280365055"/>
        <c:scaling>
          <c:orientation val="minMax"/>
        </c:scaling>
        <c:delete val="1"/>
        <c:axPos val="l"/>
        <c:majorTickMark val="out"/>
        <c:minorTickMark val="none"/>
        <c:tickLblPos val="nextTo"/>
        <c:crossAx val="1280371295"/>
        <c:crosses val="autoZero"/>
        <c:auto val="1"/>
        <c:lblAlgn val="ctr"/>
        <c:lblOffset val="100"/>
        <c:noMultiLvlLbl val="0"/>
      </c:catAx>
      <c:spPr>
        <a:solidFill>
          <a:schemeClr val="bg1">
            <a:lumMod val="95000"/>
          </a:schemeClr>
        </a:solidFill>
        <a:ln>
          <a:noFill/>
        </a:ln>
        <a:effectLst/>
      </c:spPr>
    </c:plotArea>
    <c:plotVisOnly val="1"/>
    <c:dispBlanksAs val="gap"/>
    <c:showDLblsOverMax val="0"/>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20.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6.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6E6D75A1-8C8A-44A4-85F1-825D0540D1FB}">
  <sheetPr codeName="Chart5"/>
  <sheetViews>
    <sheetView zoomScale="115" workbookViewId="0"/>
  </sheetViews>
  <pageMargins left="0.7" right="0.7" top="0.75" bottom="0.75" header="0.3" footer="0.3"/>
  <pageSetup orientation="landscape"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81CE90A-9A2F-4CA9-9A0B-F3230FD2AE3B}">
  <sheetPr>
    <tabColor theme="7" tint="0.39997558519241921"/>
  </sheetPr>
  <sheetViews>
    <sheetView zoomScale="58"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codeName="Chart3">
    <tabColor theme="7" tint="0.39997558519241921"/>
  </sheetPr>
  <sheetViews>
    <sheetView zoomScale="70" workbookViewId="0"/>
  </sheetViews>
  <pageMargins left="0.7" right="0.7" top="0.75" bottom="0.75" header="0.3" footer="0.3"/>
  <pageSetup orientation="landscape" r:id="rId1"/>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Chart6">
    <tabColor theme="7" tint="0.39997558519241921"/>
  </sheetPr>
  <sheetViews>
    <sheetView zoomScale="54" workbookViewId="0" zoomToFit="1"/>
  </sheetViews>
  <pageMargins left="0.7" right="0.7" top="0.75" bottom="0.75" header="0.3" footer="0.3"/>
  <drawing r:id="rId1"/>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8" Type="http://schemas.openxmlformats.org/officeDocument/2006/relationships/chart" Target="../charts/chart14.xml"/><Relationship Id="rId13" Type="http://schemas.openxmlformats.org/officeDocument/2006/relationships/chart" Target="../charts/chart19.xml"/><Relationship Id="rId18" Type="http://schemas.openxmlformats.org/officeDocument/2006/relationships/chart" Target="../charts/chart24.xml"/><Relationship Id="rId3" Type="http://schemas.openxmlformats.org/officeDocument/2006/relationships/chart" Target="../charts/chart9.xml"/><Relationship Id="rId7" Type="http://schemas.openxmlformats.org/officeDocument/2006/relationships/chart" Target="../charts/chart13.xml"/><Relationship Id="rId12" Type="http://schemas.openxmlformats.org/officeDocument/2006/relationships/chart" Target="../charts/chart18.xml"/><Relationship Id="rId17" Type="http://schemas.openxmlformats.org/officeDocument/2006/relationships/chart" Target="../charts/chart23.xml"/><Relationship Id="rId2" Type="http://schemas.openxmlformats.org/officeDocument/2006/relationships/chart" Target="../charts/chart8.xml"/><Relationship Id="rId16" Type="http://schemas.openxmlformats.org/officeDocument/2006/relationships/chart" Target="../charts/chart22.xml"/><Relationship Id="rId20" Type="http://schemas.openxmlformats.org/officeDocument/2006/relationships/chart" Target="../charts/chart26.xml"/><Relationship Id="rId1" Type="http://schemas.openxmlformats.org/officeDocument/2006/relationships/chart" Target="../charts/chart7.xml"/><Relationship Id="rId6" Type="http://schemas.openxmlformats.org/officeDocument/2006/relationships/chart" Target="../charts/chart12.xml"/><Relationship Id="rId11" Type="http://schemas.openxmlformats.org/officeDocument/2006/relationships/chart" Target="../charts/chart17.xml"/><Relationship Id="rId5" Type="http://schemas.openxmlformats.org/officeDocument/2006/relationships/chart" Target="../charts/chart11.xml"/><Relationship Id="rId15" Type="http://schemas.openxmlformats.org/officeDocument/2006/relationships/chart" Target="../charts/chart21.xml"/><Relationship Id="rId10" Type="http://schemas.openxmlformats.org/officeDocument/2006/relationships/chart" Target="../charts/chart16.xml"/><Relationship Id="rId19" Type="http://schemas.openxmlformats.org/officeDocument/2006/relationships/chart" Target="../charts/chart25.xml"/><Relationship Id="rId4" Type="http://schemas.openxmlformats.org/officeDocument/2006/relationships/chart" Target="../charts/chart10.xml"/><Relationship Id="rId9" Type="http://schemas.openxmlformats.org/officeDocument/2006/relationships/chart" Target="../charts/chart15.xml"/><Relationship Id="rId1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 Id="rId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0</xdr:col>
      <xdr:colOff>567764</xdr:colOff>
      <xdr:row>2</xdr:row>
      <xdr:rowOff>14940</xdr:rowOff>
    </xdr:from>
    <xdr:to>
      <xdr:col>1</xdr:col>
      <xdr:colOff>672353</xdr:colOff>
      <xdr:row>11</xdr:row>
      <xdr:rowOff>59765</xdr:rowOff>
    </xdr:to>
    <xdr:sp macro="" textlink="">
      <xdr:nvSpPr>
        <xdr:cNvPr id="2" name="Speech Bubble: Rectangle with Corners Rounded 1">
          <a:extLst>
            <a:ext uri="{FF2B5EF4-FFF2-40B4-BE49-F238E27FC236}">
              <a16:creationId xmlns:a16="http://schemas.microsoft.com/office/drawing/2014/main" id="{A4D96EBF-4B2D-42C9-A3C5-6227DA1A1D00}"/>
            </a:ext>
          </a:extLst>
        </xdr:cNvPr>
        <xdr:cNvSpPr/>
      </xdr:nvSpPr>
      <xdr:spPr>
        <a:xfrm>
          <a:off x="567764" y="414990"/>
          <a:ext cx="1717489" cy="2273675"/>
        </a:xfrm>
        <a:prstGeom prst="wedgeRoundRectCallout">
          <a:avLst>
            <a:gd name="adj1" fmla="val -35660"/>
            <a:gd name="adj2" fmla="val 73431"/>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1. Name the project that will implement the risk treatment program. Use the Projects table in Lookups to populate projects.</a:t>
          </a:r>
        </a:p>
      </xdr:txBody>
    </xdr:sp>
    <xdr:clientData/>
  </xdr:twoCellAnchor>
  <xdr:twoCellAnchor>
    <xdr:from>
      <xdr:col>1</xdr:col>
      <xdr:colOff>1213224</xdr:colOff>
      <xdr:row>1</xdr:row>
      <xdr:rowOff>197223</xdr:rowOff>
    </xdr:from>
    <xdr:to>
      <xdr:col>1</xdr:col>
      <xdr:colOff>3379694</xdr:colOff>
      <xdr:row>6</xdr:row>
      <xdr:rowOff>144929</xdr:rowOff>
    </xdr:to>
    <xdr:sp macro="" textlink="">
      <xdr:nvSpPr>
        <xdr:cNvPr id="3" name="Speech Bubble: Rectangle with Corners Rounded 2">
          <a:extLst>
            <a:ext uri="{FF2B5EF4-FFF2-40B4-BE49-F238E27FC236}">
              <a16:creationId xmlns:a16="http://schemas.microsoft.com/office/drawing/2014/main" id="{6B785EF1-D88D-46A3-8608-EC484B99E3FD}"/>
            </a:ext>
          </a:extLst>
        </xdr:cNvPr>
        <xdr:cNvSpPr/>
      </xdr:nvSpPr>
      <xdr:spPr>
        <a:xfrm>
          <a:off x="1257674" y="368673"/>
          <a:ext cx="1120" cy="881156"/>
        </a:xfrm>
        <a:prstGeom prst="wedgeRoundRectCallout">
          <a:avLst>
            <a:gd name="adj1" fmla="val -35660"/>
            <a:gd name="adj2" fmla="val 82982"/>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2. Exact</a:t>
          </a:r>
          <a:r>
            <a:rPr lang="en-US" sz="1400" baseline="0"/>
            <a:t> name of the risk treatment program from the risk register (for cross-reference).</a:t>
          </a:r>
          <a:endParaRPr lang="en-US" sz="1400"/>
        </a:p>
      </xdr:txBody>
    </xdr:sp>
    <xdr:clientData/>
  </xdr:twoCellAnchor>
  <xdr:twoCellAnchor>
    <xdr:from>
      <xdr:col>2</xdr:col>
      <xdr:colOff>499035</xdr:colOff>
      <xdr:row>2</xdr:row>
      <xdr:rowOff>35858</xdr:rowOff>
    </xdr:from>
    <xdr:to>
      <xdr:col>2</xdr:col>
      <xdr:colOff>2665505</xdr:colOff>
      <xdr:row>8</xdr:row>
      <xdr:rowOff>29882</xdr:rowOff>
    </xdr:to>
    <xdr:sp macro="" textlink="">
      <xdr:nvSpPr>
        <xdr:cNvPr id="4" name="Speech Bubble: Rectangle with Corners Rounded 3">
          <a:extLst>
            <a:ext uri="{FF2B5EF4-FFF2-40B4-BE49-F238E27FC236}">
              <a16:creationId xmlns:a16="http://schemas.microsoft.com/office/drawing/2014/main" id="{35BBEB92-760F-4CA0-9DAB-BDCB0D66C2B5}"/>
            </a:ext>
          </a:extLst>
        </xdr:cNvPr>
        <xdr:cNvSpPr/>
      </xdr:nvSpPr>
      <xdr:spPr>
        <a:xfrm>
          <a:off x="1756335" y="404158"/>
          <a:ext cx="128120" cy="1098924"/>
        </a:xfrm>
        <a:prstGeom prst="wedgeRoundRectCallout">
          <a:avLst>
            <a:gd name="adj1" fmla="val -35660"/>
            <a:gd name="adj2" fmla="val 82982"/>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3. Describe each step that HALOCK</a:t>
          </a:r>
          <a:r>
            <a:rPr lang="en-US" sz="1400" baseline="0"/>
            <a:t> or Client will take to implement the program. One line per step.</a:t>
          </a:r>
          <a:endParaRPr lang="en-US" sz="1400"/>
        </a:p>
      </xdr:txBody>
    </xdr:sp>
    <xdr:clientData/>
  </xdr:twoCellAnchor>
  <xdr:twoCellAnchor>
    <xdr:from>
      <xdr:col>3</xdr:col>
      <xdr:colOff>255494</xdr:colOff>
      <xdr:row>1</xdr:row>
      <xdr:rowOff>150904</xdr:rowOff>
    </xdr:from>
    <xdr:to>
      <xdr:col>4</xdr:col>
      <xdr:colOff>748552</xdr:colOff>
      <xdr:row>8</xdr:row>
      <xdr:rowOff>22411</xdr:rowOff>
    </xdr:to>
    <xdr:sp macro="" textlink="">
      <xdr:nvSpPr>
        <xdr:cNvPr id="5" name="Speech Bubble: Rectangle with Corners Rounded 4">
          <a:extLst>
            <a:ext uri="{FF2B5EF4-FFF2-40B4-BE49-F238E27FC236}">
              <a16:creationId xmlns:a16="http://schemas.microsoft.com/office/drawing/2014/main" id="{93077F99-B938-4DE4-90F9-D3093116587F}"/>
            </a:ext>
          </a:extLst>
        </xdr:cNvPr>
        <xdr:cNvSpPr/>
      </xdr:nvSpPr>
      <xdr:spPr>
        <a:xfrm>
          <a:off x="8878794" y="316004"/>
          <a:ext cx="2169458" cy="1598707"/>
        </a:xfrm>
        <a:prstGeom prst="wedgeRoundRectCallout">
          <a:avLst>
            <a:gd name="adj1" fmla="val -35660"/>
            <a:gd name="adj2" fmla="val 82982"/>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4. State</a:t>
          </a:r>
          <a:r>
            <a:rPr lang="en-US" sz="1400" baseline="0"/>
            <a:t> "No approval needed" if this program can occur without requiring extra budget approval, hires, etc.</a:t>
          </a:r>
          <a:endParaRPr lang="en-US" sz="1400"/>
        </a:p>
      </xdr:txBody>
    </xdr:sp>
    <xdr:clientData/>
  </xdr:twoCellAnchor>
  <xdr:twoCellAnchor>
    <xdr:from>
      <xdr:col>3</xdr:col>
      <xdr:colOff>863600</xdr:colOff>
      <xdr:row>12</xdr:row>
      <xdr:rowOff>221127</xdr:rowOff>
    </xdr:from>
    <xdr:to>
      <xdr:col>4</xdr:col>
      <xdr:colOff>1356658</xdr:colOff>
      <xdr:row>15</xdr:row>
      <xdr:rowOff>179294</xdr:rowOff>
    </xdr:to>
    <xdr:sp macro="" textlink="">
      <xdr:nvSpPr>
        <xdr:cNvPr id="6" name="Speech Bubble: Rectangle with Corners Rounded 5">
          <a:extLst>
            <a:ext uri="{FF2B5EF4-FFF2-40B4-BE49-F238E27FC236}">
              <a16:creationId xmlns:a16="http://schemas.microsoft.com/office/drawing/2014/main" id="{35CA7547-31E7-47D2-A7AD-F1785B6C2E33}"/>
            </a:ext>
          </a:extLst>
        </xdr:cNvPr>
        <xdr:cNvSpPr/>
      </xdr:nvSpPr>
      <xdr:spPr>
        <a:xfrm>
          <a:off x="2514600" y="2392827"/>
          <a:ext cx="626408" cy="548717"/>
        </a:xfrm>
        <a:prstGeom prst="wedgeRoundRectCallout">
          <a:avLst>
            <a:gd name="adj1" fmla="val 19512"/>
            <a:gd name="adj2" fmla="val -83283"/>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5. State whether</a:t>
          </a:r>
          <a:r>
            <a:rPr lang="en-US" sz="1400" baseline="0"/>
            <a:t> HALOCK or the client (or others) are responsible for this step. Use the Responsibility table in Lookup to populate options.</a:t>
          </a:r>
          <a:endParaRPr lang="en-US" sz="1400"/>
        </a:p>
      </xdr:txBody>
    </xdr:sp>
    <xdr:clientData/>
  </xdr:twoCellAnchor>
  <xdr:twoCellAnchor>
    <xdr:from>
      <xdr:col>5</xdr:col>
      <xdr:colOff>7471</xdr:colOff>
      <xdr:row>11</xdr:row>
      <xdr:rowOff>209175</xdr:rowOff>
    </xdr:from>
    <xdr:to>
      <xdr:col>5</xdr:col>
      <xdr:colOff>1531471</xdr:colOff>
      <xdr:row>13</xdr:row>
      <xdr:rowOff>829235</xdr:rowOff>
    </xdr:to>
    <xdr:sp macro="" textlink="">
      <xdr:nvSpPr>
        <xdr:cNvPr id="7" name="Speech Bubble: Rectangle with Corners Rounded 6">
          <a:extLst>
            <a:ext uri="{FF2B5EF4-FFF2-40B4-BE49-F238E27FC236}">
              <a16:creationId xmlns:a16="http://schemas.microsoft.com/office/drawing/2014/main" id="{4C210551-3759-4882-B0E7-4BFD1CD5A659}"/>
            </a:ext>
          </a:extLst>
        </xdr:cNvPr>
        <xdr:cNvSpPr/>
      </xdr:nvSpPr>
      <xdr:spPr>
        <a:xfrm>
          <a:off x="3150721" y="2209425"/>
          <a:ext cx="622300" cy="366060"/>
        </a:xfrm>
        <a:prstGeom prst="wedgeRoundRectCallout">
          <a:avLst>
            <a:gd name="adj1" fmla="val 19512"/>
            <a:gd name="adj2" fmla="val -83283"/>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6. Name the people who will do this step.</a:t>
          </a:r>
        </a:p>
      </xdr:txBody>
    </xdr:sp>
    <xdr:clientData/>
  </xdr:twoCellAnchor>
  <xdr:twoCellAnchor>
    <xdr:from>
      <xdr:col>7</xdr:col>
      <xdr:colOff>974165</xdr:colOff>
      <xdr:row>10</xdr:row>
      <xdr:rowOff>189752</xdr:rowOff>
    </xdr:from>
    <xdr:to>
      <xdr:col>9</xdr:col>
      <xdr:colOff>346635</xdr:colOff>
      <xdr:row>13</xdr:row>
      <xdr:rowOff>578224</xdr:rowOff>
    </xdr:to>
    <xdr:sp macro="" textlink="">
      <xdr:nvSpPr>
        <xdr:cNvPr id="8" name="Speech Bubble: Rectangle with Corners Rounded 7">
          <a:extLst>
            <a:ext uri="{FF2B5EF4-FFF2-40B4-BE49-F238E27FC236}">
              <a16:creationId xmlns:a16="http://schemas.microsoft.com/office/drawing/2014/main" id="{385470CF-9A79-47D4-9ADA-977596C954F1}"/>
            </a:ext>
          </a:extLst>
        </xdr:cNvPr>
        <xdr:cNvSpPr/>
      </xdr:nvSpPr>
      <xdr:spPr>
        <a:xfrm>
          <a:off x="5031815" y="2024902"/>
          <a:ext cx="972670" cy="553572"/>
        </a:xfrm>
        <a:prstGeom prst="wedgeRoundRectCallout">
          <a:avLst>
            <a:gd name="adj1" fmla="val -10390"/>
            <a:gd name="adj2" fmla="val -88800"/>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7. State which quarter and month the steps will occur in.</a:t>
          </a:r>
        </a:p>
      </xdr:txBody>
    </xdr:sp>
    <xdr:clientData/>
  </xdr:twoCellAnchor>
  <xdr:twoCellAnchor>
    <xdr:from>
      <xdr:col>8</xdr:col>
      <xdr:colOff>775447</xdr:colOff>
      <xdr:row>14</xdr:row>
      <xdr:rowOff>581211</xdr:rowOff>
    </xdr:from>
    <xdr:to>
      <xdr:col>10</xdr:col>
      <xdr:colOff>147918</xdr:colOff>
      <xdr:row>15</xdr:row>
      <xdr:rowOff>797860</xdr:rowOff>
    </xdr:to>
    <xdr:sp macro="" textlink="">
      <xdr:nvSpPr>
        <xdr:cNvPr id="9" name="Speech Bubble: Rectangle with Corners Rounded 8">
          <a:extLst>
            <a:ext uri="{FF2B5EF4-FFF2-40B4-BE49-F238E27FC236}">
              <a16:creationId xmlns:a16="http://schemas.microsoft.com/office/drawing/2014/main" id="{D5E30BF8-B29C-47F3-957E-1DD8F4E8A460}"/>
            </a:ext>
          </a:extLst>
        </xdr:cNvPr>
        <xdr:cNvSpPr/>
      </xdr:nvSpPr>
      <xdr:spPr>
        <a:xfrm>
          <a:off x="5658597" y="2759261"/>
          <a:ext cx="775821" cy="184899"/>
        </a:xfrm>
        <a:prstGeom prst="wedgeRoundRectCallout">
          <a:avLst>
            <a:gd name="adj1" fmla="val -10390"/>
            <a:gd name="adj2" fmla="val -88800"/>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8. Estimate</a:t>
          </a:r>
          <a:r>
            <a:rPr lang="en-US" sz="1400" baseline="0"/>
            <a:t> the hours required to accomplish each step.</a:t>
          </a:r>
          <a:endParaRPr lang="en-US" sz="1400"/>
        </a:p>
      </xdr:txBody>
    </xdr:sp>
    <xdr:clientData/>
  </xdr:twoCellAnchor>
  <xdr:twoCellAnchor>
    <xdr:from>
      <xdr:col>7</xdr:col>
      <xdr:colOff>838200</xdr:colOff>
      <xdr:row>2</xdr:row>
      <xdr:rowOff>38846</xdr:rowOff>
    </xdr:from>
    <xdr:to>
      <xdr:col>9</xdr:col>
      <xdr:colOff>210670</xdr:colOff>
      <xdr:row>6</xdr:row>
      <xdr:rowOff>61259</xdr:rowOff>
    </xdr:to>
    <xdr:sp macro="" textlink="">
      <xdr:nvSpPr>
        <xdr:cNvPr id="10" name="Speech Bubble: Rectangle with Corners Rounded 9">
          <a:extLst>
            <a:ext uri="{FF2B5EF4-FFF2-40B4-BE49-F238E27FC236}">
              <a16:creationId xmlns:a16="http://schemas.microsoft.com/office/drawing/2014/main" id="{19C35CEB-8D9C-4403-AE34-3202062878DF}"/>
            </a:ext>
          </a:extLst>
        </xdr:cNvPr>
        <xdr:cNvSpPr/>
      </xdr:nvSpPr>
      <xdr:spPr>
        <a:xfrm>
          <a:off x="5029200" y="407146"/>
          <a:ext cx="839320" cy="759013"/>
        </a:xfrm>
        <a:prstGeom prst="wedgeRoundRectCallout">
          <a:avLst>
            <a:gd name="adj1" fmla="val -134410"/>
            <a:gd name="adj2" fmla="val -35697"/>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9. Enter the total hours available in the retainer.</a:t>
          </a:r>
        </a:p>
      </xdr:txBody>
    </xdr:sp>
    <xdr:clientData/>
  </xdr:twoCellAnchor>
  <xdr:twoCellAnchor>
    <xdr:from>
      <xdr:col>6</xdr:col>
      <xdr:colOff>124012</xdr:colOff>
      <xdr:row>6</xdr:row>
      <xdr:rowOff>153893</xdr:rowOff>
    </xdr:from>
    <xdr:to>
      <xdr:col>7</xdr:col>
      <xdr:colOff>348130</xdr:colOff>
      <xdr:row>11</xdr:row>
      <xdr:rowOff>71719</xdr:rowOff>
    </xdr:to>
    <xdr:sp macro="" textlink="">
      <xdr:nvSpPr>
        <xdr:cNvPr id="11" name="Speech Bubble: Rectangle with Corners Rounded 10">
          <a:extLst>
            <a:ext uri="{FF2B5EF4-FFF2-40B4-BE49-F238E27FC236}">
              <a16:creationId xmlns:a16="http://schemas.microsoft.com/office/drawing/2014/main" id="{353FA4CE-569E-404B-80CB-9CFEB4A4DF64}"/>
            </a:ext>
          </a:extLst>
        </xdr:cNvPr>
        <xdr:cNvSpPr/>
      </xdr:nvSpPr>
      <xdr:spPr>
        <a:xfrm>
          <a:off x="3895912" y="1258793"/>
          <a:ext cx="852768" cy="838576"/>
        </a:xfrm>
        <a:prstGeom prst="wedgeRoundRectCallout">
          <a:avLst>
            <a:gd name="adj1" fmla="val -19214"/>
            <a:gd name="adj2" fmla="val -84662"/>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400"/>
            <a:t>10. Find more things to do if there</a:t>
          </a:r>
          <a:r>
            <a:rPr lang="en-US" sz="1400" baseline="0"/>
            <a:t> is balance left over</a:t>
          </a:r>
          <a:endParaRPr lang="en-US" sz="1400"/>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12995413" cy="9433891"/>
    <xdr:graphicFrame macro="">
      <xdr:nvGraphicFramePr>
        <xdr:cNvPr id="2" name="Chart 1">
          <a:extLst>
            <a:ext uri="{FF2B5EF4-FFF2-40B4-BE49-F238E27FC236}">
              <a16:creationId xmlns:a16="http://schemas.microsoft.com/office/drawing/2014/main" id="{8BBD25CA-F1BE-4F94-BD83-1162D67E592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xdr:from>
      <xdr:col>8</xdr:col>
      <xdr:colOff>115957</xdr:colOff>
      <xdr:row>3</xdr:row>
      <xdr:rowOff>102704</xdr:rowOff>
    </xdr:from>
    <xdr:to>
      <xdr:col>15</xdr:col>
      <xdr:colOff>397566</xdr:colOff>
      <xdr:row>17</xdr:row>
      <xdr:rowOff>178904</xdr:rowOff>
    </xdr:to>
    <xdr:graphicFrame macro="">
      <xdr:nvGraphicFramePr>
        <xdr:cNvPr id="2" name="Chart 1">
          <a:extLst>
            <a:ext uri="{FF2B5EF4-FFF2-40B4-BE49-F238E27FC236}">
              <a16:creationId xmlns:a16="http://schemas.microsoft.com/office/drawing/2014/main" id="{67C66589-1E15-4CDB-9B85-93257E23D0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85224</xdr:colOff>
      <xdr:row>20</xdr:row>
      <xdr:rowOff>20052</xdr:rowOff>
    </xdr:from>
    <xdr:to>
      <xdr:col>15</xdr:col>
      <xdr:colOff>366833</xdr:colOff>
      <xdr:row>34</xdr:row>
      <xdr:rowOff>96252</xdr:rowOff>
    </xdr:to>
    <xdr:graphicFrame macro="">
      <xdr:nvGraphicFramePr>
        <xdr:cNvPr id="3" name="Chart 2">
          <a:extLst>
            <a:ext uri="{FF2B5EF4-FFF2-40B4-BE49-F238E27FC236}">
              <a16:creationId xmlns:a16="http://schemas.microsoft.com/office/drawing/2014/main" id="{8823C32C-D17A-4C2C-84E1-B0E66E33B6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absoluteAnchor>
    <xdr:pos x="0" y="0"/>
    <xdr:ext cx="17325647" cy="12579569"/>
    <xdr:graphicFrame macro="">
      <xdr:nvGraphicFramePr>
        <xdr:cNvPr id="2" name="Chart 1">
          <a:extLst>
            <a:ext uri="{FF2B5EF4-FFF2-40B4-BE49-F238E27FC236}">
              <a16:creationId xmlns:a16="http://schemas.microsoft.com/office/drawing/2014/main" id="{A0AA4E56-3E23-913D-1265-845C3A4F84C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17308286" cy="12559393"/>
    <xdr:graphicFrame macro="">
      <xdr:nvGraphicFramePr>
        <xdr:cNvPr id="2" name="Chart 1">
          <a:extLst>
            <a:ext uri="{FF2B5EF4-FFF2-40B4-BE49-F238E27FC236}">
              <a16:creationId xmlns:a16="http://schemas.microsoft.com/office/drawing/2014/main" id="{8A001742-19F4-41E8-A7EF-C07A3BFAD33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17321389" cy="12558889"/>
    <xdr:graphicFrame macro="">
      <xdr:nvGraphicFramePr>
        <xdr:cNvPr id="2" name="Chart 1">
          <a:extLst>
            <a:ext uri="{FF2B5EF4-FFF2-40B4-BE49-F238E27FC236}">
              <a16:creationId xmlns:a16="http://schemas.microsoft.com/office/drawing/2014/main" id="{ACC0C5B1-CA2E-4DD4-B7B8-4E92804F395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twoCellAnchor>
    <xdr:from>
      <xdr:col>21</xdr:col>
      <xdr:colOff>301625</xdr:colOff>
      <xdr:row>58</xdr:row>
      <xdr:rowOff>31750</xdr:rowOff>
    </xdr:from>
    <xdr:to>
      <xdr:col>21</xdr:col>
      <xdr:colOff>317500</xdr:colOff>
      <xdr:row>69</xdr:row>
      <xdr:rowOff>0</xdr:rowOff>
    </xdr:to>
    <xdr:cxnSp macro="">
      <xdr:nvCxnSpPr>
        <xdr:cNvPr id="3" name="Straight Connector 2">
          <a:extLst>
            <a:ext uri="{FF2B5EF4-FFF2-40B4-BE49-F238E27FC236}">
              <a16:creationId xmlns:a16="http://schemas.microsoft.com/office/drawing/2014/main" id="{36199B64-2E32-8746-76AE-DD9DE2EFE602}"/>
            </a:ext>
          </a:extLst>
        </xdr:cNvPr>
        <xdr:cNvCxnSpPr/>
      </xdr:nvCxnSpPr>
      <xdr:spPr>
        <a:xfrm flipH="1">
          <a:off x="33448625" y="50022125"/>
          <a:ext cx="15875" cy="1247775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21</xdr:col>
      <xdr:colOff>313765</xdr:colOff>
      <xdr:row>32</xdr:row>
      <xdr:rowOff>4488</xdr:rowOff>
    </xdr:from>
    <xdr:to>
      <xdr:col>21</xdr:col>
      <xdr:colOff>319178</xdr:colOff>
      <xdr:row>43</xdr:row>
      <xdr:rowOff>37353</xdr:rowOff>
    </xdr:to>
    <xdr:cxnSp macro="">
      <xdr:nvCxnSpPr>
        <xdr:cNvPr id="4" name="Straight Connector 3">
          <a:extLst>
            <a:ext uri="{FF2B5EF4-FFF2-40B4-BE49-F238E27FC236}">
              <a16:creationId xmlns:a16="http://schemas.microsoft.com/office/drawing/2014/main" id="{CB64D941-71D9-4099-9522-52369617E4F1}"/>
            </a:ext>
          </a:extLst>
        </xdr:cNvPr>
        <xdr:cNvCxnSpPr/>
      </xdr:nvCxnSpPr>
      <xdr:spPr>
        <a:xfrm flipH="1">
          <a:off x="33490647" y="27847370"/>
          <a:ext cx="5413" cy="10977277"/>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35</xdr:col>
      <xdr:colOff>319175</xdr:colOff>
      <xdr:row>5</xdr:row>
      <xdr:rowOff>0</xdr:rowOff>
    </xdr:from>
    <xdr:to>
      <xdr:col>35</xdr:col>
      <xdr:colOff>321235</xdr:colOff>
      <xdr:row>16</xdr:row>
      <xdr:rowOff>14941</xdr:rowOff>
    </xdr:to>
    <xdr:cxnSp macro="">
      <xdr:nvCxnSpPr>
        <xdr:cNvPr id="6" name="Straight Connector 5">
          <a:extLst>
            <a:ext uri="{FF2B5EF4-FFF2-40B4-BE49-F238E27FC236}">
              <a16:creationId xmlns:a16="http://schemas.microsoft.com/office/drawing/2014/main" id="{98B3BAE5-1C72-4E16-8E97-643C68074FA8}"/>
            </a:ext>
          </a:extLst>
        </xdr:cNvPr>
        <xdr:cNvCxnSpPr/>
      </xdr:nvCxnSpPr>
      <xdr:spPr>
        <a:xfrm>
          <a:off x="64984587" y="1875118"/>
          <a:ext cx="2060" cy="12782176"/>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7</xdr:col>
      <xdr:colOff>0</xdr:colOff>
      <xdr:row>7</xdr:row>
      <xdr:rowOff>0</xdr:rowOff>
    </xdr:from>
    <xdr:to>
      <xdr:col>8</xdr:col>
      <xdr:colOff>1215</xdr:colOff>
      <xdr:row>8</xdr:row>
      <xdr:rowOff>1129</xdr:rowOff>
    </xdr:to>
    <xdr:graphicFrame macro="">
      <xdr:nvGraphicFramePr>
        <xdr:cNvPr id="23" name="Chart 22">
          <a:extLst>
            <a:ext uri="{FF2B5EF4-FFF2-40B4-BE49-F238E27FC236}">
              <a16:creationId xmlns:a16="http://schemas.microsoft.com/office/drawing/2014/main" id="{0B009364-C873-4698-B4E5-9DDCC9CC2C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9</xdr:row>
      <xdr:rowOff>0</xdr:rowOff>
    </xdr:from>
    <xdr:to>
      <xdr:col>8</xdr:col>
      <xdr:colOff>1215</xdr:colOff>
      <xdr:row>10</xdr:row>
      <xdr:rowOff>1130</xdr:rowOff>
    </xdr:to>
    <xdr:graphicFrame macro="">
      <xdr:nvGraphicFramePr>
        <xdr:cNvPr id="24" name="Chart 23">
          <a:extLst>
            <a:ext uri="{FF2B5EF4-FFF2-40B4-BE49-F238E27FC236}">
              <a16:creationId xmlns:a16="http://schemas.microsoft.com/office/drawing/2014/main" id="{EA749B9C-340C-478A-B270-BB60B67C11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11</xdr:row>
      <xdr:rowOff>0</xdr:rowOff>
    </xdr:from>
    <xdr:to>
      <xdr:col>8</xdr:col>
      <xdr:colOff>1215</xdr:colOff>
      <xdr:row>12</xdr:row>
      <xdr:rowOff>1130</xdr:rowOff>
    </xdr:to>
    <xdr:graphicFrame macro="">
      <xdr:nvGraphicFramePr>
        <xdr:cNvPr id="31" name="Chart 30">
          <a:extLst>
            <a:ext uri="{FF2B5EF4-FFF2-40B4-BE49-F238E27FC236}">
              <a16:creationId xmlns:a16="http://schemas.microsoft.com/office/drawing/2014/main" id="{9B2FC876-8AB7-43E7-B924-6C0F76C798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13</xdr:row>
      <xdr:rowOff>0</xdr:rowOff>
    </xdr:from>
    <xdr:to>
      <xdr:col>8</xdr:col>
      <xdr:colOff>1215</xdr:colOff>
      <xdr:row>14</xdr:row>
      <xdr:rowOff>1129</xdr:rowOff>
    </xdr:to>
    <xdr:graphicFrame macro="">
      <xdr:nvGraphicFramePr>
        <xdr:cNvPr id="32" name="Chart 31">
          <a:extLst>
            <a:ext uri="{FF2B5EF4-FFF2-40B4-BE49-F238E27FC236}">
              <a16:creationId xmlns:a16="http://schemas.microsoft.com/office/drawing/2014/main" id="{C0A93440-B894-4B2E-B2C8-76414D945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0</xdr:colOff>
      <xdr:row>15</xdr:row>
      <xdr:rowOff>0</xdr:rowOff>
    </xdr:from>
    <xdr:to>
      <xdr:col>8</xdr:col>
      <xdr:colOff>1215</xdr:colOff>
      <xdr:row>16</xdr:row>
      <xdr:rowOff>1129</xdr:rowOff>
    </xdr:to>
    <xdr:graphicFrame macro="">
      <xdr:nvGraphicFramePr>
        <xdr:cNvPr id="33" name="Chart 32">
          <a:extLst>
            <a:ext uri="{FF2B5EF4-FFF2-40B4-BE49-F238E27FC236}">
              <a16:creationId xmlns:a16="http://schemas.microsoft.com/office/drawing/2014/main" id="{7705646A-4D36-45EA-830C-3079D6B786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17</xdr:row>
      <xdr:rowOff>0</xdr:rowOff>
    </xdr:from>
    <xdr:to>
      <xdr:col>8</xdr:col>
      <xdr:colOff>1215</xdr:colOff>
      <xdr:row>18</xdr:row>
      <xdr:rowOff>1129</xdr:rowOff>
    </xdr:to>
    <xdr:graphicFrame macro="">
      <xdr:nvGraphicFramePr>
        <xdr:cNvPr id="34" name="Chart 33">
          <a:extLst>
            <a:ext uri="{FF2B5EF4-FFF2-40B4-BE49-F238E27FC236}">
              <a16:creationId xmlns:a16="http://schemas.microsoft.com/office/drawing/2014/main" id="{4CA096FD-AFBD-4320-AE50-2E1C7F1C3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19</xdr:row>
      <xdr:rowOff>0</xdr:rowOff>
    </xdr:from>
    <xdr:to>
      <xdr:col>8</xdr:col>
      <xdr:colOff>1215</xdr:colOff>
      <xdr:row>20</xdr:row>
      <xdr:rowOff>1129</xdr:rowOff>
    </xdr:to>
    <xdr:graphicFrame macro="">
      <xdr:nvGraphicFramePr>
        <xdr:cNvPr id="35" name="Chart 34">
          <a:extLst>
            <a:ext uri="{FF2B5EF4-FFF2-40B4-BE49-F238E27FC236}">
              <a16:creationId xmlns:a16="http://schemas.microsoft.com/office/drawing/2014/main" id="{694CBEE0-7E03-4BD5-B459-6A019CFD3D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0</xdr:colOff>
      <xdr:row>21</xdr:row>
      <xdr:rowOff>0</xdr:rowOff>
    </xdr:from>
    <xdr:to>
      <xdr:col>8</xdr:col>
      <xdr:colOff>1215</xdr:colOff>
      <xdr:row>22</xdr:row>
      <xdr:rowOff>1130</xdr:rowOff>
    </xdr:to>
    <xdr:graphicFrame macro="">
      <xdr:nvGraphicFramePr>
        <xdr:cNvPr id="36" name="Chart 35">
          <a:extLst>
            <a:ext uri="{FF2B5EF4-FFF2-40B4-BE49-F238E27FC236}">
              <a16:creationId xmlns:a16="http://schemas.microsoft.com/office/drawing/2014/main" id="{945F70EA-AE6E-469D-BCE8-DDCBFCC1D7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0</xdr:colOff>
      <xdr:row>23</xdr:row>
      <xdr:rowOff>0</xdr:rowOff>
    </xdr:from>
    <xdr:to>
      <xdr:col>8</xdr:col>
      <xdr:colOff>1215</xdr:colOff>
      <xdr:row>24</xdr:row>
      <xdr:rowOff>1130</xdr:rowOff>
    </xdr:to>
    <xdr:graphicFrame macro="">
      <xdr:nvGraphicFramePr>
        <xdr:cNvPr id="37" name="Chart 36">
          <a:extLst>
            <a:ext uri="{FF2B5EF4-FFF2-40B4-BE49-F238E27FC236}">
              <a16:creationId xmlns:a16="http://schemas.microsoft.com/office/drawing/2014/main" id="{CB6A93F2-57F4-4611-B340-0E2C5AC97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0</xdr:colOff>
      <xdr:row>25</xdr:row>
      <xdr:rowOff>0</xdr:rowOff>
    </xdr:from>
    <xdr:to>
      <xdr:col>8</xdr:col>
      <xdr:colOff>1215</xdr:colOff>
      <xdr:row>26</xdr:row>
      <xdr:rowOff>1129</xdr:rowOff>
    </xdr:to>
    <xdr:graphicFrame macro="">
      <xdr:nvGraphicFramePr>
        <xdr:cNvPr id="38" name="Chart 37">
          <a:extLst>
            <a:ext uri="{FF2B5EF4-FFF2-40B4-BE49-F238E27FC236}">
              <a16:creationId xmlns:a16="http://schemas.microsoft.com/office/drawing/2014/main" id="{C7D78545-D947-4C9D-AE93-184FFD919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34</xdr:col>
      <xdr:colOff>0</xdr:colOff>
      <xdr:row>7</xdr:row>
      <xdr:rowOff>0</xdr:rowOff>
    </xdr:from>
    <xdr:to>
      <xdr:col>35</xdr:col>
      <xdr:colOff>1215</xdr:colOff>
      <xdr:row>8</xdr:row>
      <xdr:rowOff>1129</xdr:rowOff>
    </xdr:to>
    <xdr:graphicFrame macro="">
      <xdr:nvGraphicFramePr>
        <xdr:cNvPr id="39" name="Chart 38">
          <a:extLst>
            <a:ext uri="{FF2B5EF4-FFF2-40B4-BE49-F238E27FC236}">
              <a16:creationId xmlns:a16="http://schemas.microsoft.com/office/drawing/2014/main" id="{6A0589BC-A132-4D0A-A013-18C2E5FF3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34</xdr:col>
      <xdr:colOff>0</xdr:colOff>
      <xdr:row>9</xdr:row>
      <xdr:rowOff>0</xdr:rowOff>
    </xdr:from>
    <xdr:to>
      <xdr:col>35</xdr:col>
      <xdr:colOff>1215</xdr:colOff>
      <xdr:row>10</xdr:row>
      <xdr:rowOff>1130</xdr:rowOff>
    </xdr:to>
    <xdr:graphicFrame macro="">
      <xdr:nvGraphicFramePr>
        <xdr:cNvPr id="40" name="Chart 39">
          <a:extLst>
            <a:ext uri="{FF2B5EF4-FFF2-40B4-BE49-F238E27FC236}">
              <a16:creationId xmlns:a16="http://schemas.microsoft.com/office/drawing/2014/main" id="{2867D055-1D79-4027-B3EA-85DEADDAF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34</xdr:col>
      <xdr:colOff>0</xdr:colOff>
      <xdr:row>11</xdr:row>
      <xdr:rowOff>0</xdr:rowOff>
    </xdr:from>
    <xdr:to>
      <xdr:col>35</xdr:col>
      <xdr:colOff>1215</xdr:colOff>
      <xdr:row>12</xdr:row>
      <xdr:rowOff>1130</xdr:rowOff>
    </xdr:to>
    <xdr:graphicFrame macro="">
      <xdr:nvGraphicFramePr>
        <xdr:cNvPr id="41" name="Chart 40">
          <a:extLst>
            <a:ext uri="{FF2B5EF4-FFF2-40B4-BE49-F238E27FC236}">
              <a16:creationId xmlns:a16="http://schemas.microsoft.com/office/drawing/2014/main" id="{9EB49590-BE24-4E4D-B29F-B8488E83DA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34</xdr:col>
      <xdr:colOff>0</xdr:colOff>
      <xdr:row>13</xdr:row>
      <xdr:rowOff>0</xdr:rowOff>
    </xdr:from>
    <xdr:to>
      <xdr:col>35</xdr:col>
      <xdr:colOff>1215</xdr:colOff>
      <xdr:row>14</xdr:row>
      <xdr:rowOff>1129</xdr:rowOff>
    </xdr:to>
    <xdr:graphicFrame macro="">
      <xdr:nvGraphicFramePr>
        <xdr:cNvPr id="42" name="Chart 41">
          <a:extLst>
            <a:ext uri="{FF2B5EF4-FFF2-40B4-BE49-F238E27FC236}">
              <a16:creationId xmlns:a16="http://schemas.microsoft.com/office/drawing/2014/main" id="{253159F5-8F89-453A-AC18-AD564A2792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15</xdr:row>
      <xdr:rowOff>0</xdr:rowOff>
    </xdr:from>
    <xdr:to>
      <xdr:col>35</xdr:col>
      <xdr:colOff>1215</xdr:colOff>
      <xdr:row>16</xdr:row>
      <xdr:rowOff>1129</xdr:rowOff>
    </xdr:to>
    <xdr:graphicFrame macro="">
      <xdr:nvGraphicFramePr>
        <xdr:cNvPr id="43" name="Chart 42">
          <a:extLst>
            <a:ext uri="{FF2B5EF4-FFF2-40B4-BE49-F238E27FC236}">
              <a16:creationId xmlns:a16="http://schemas.microsoft.com/office/drawing/2014/main" id="{4B97E3DC-151E-4CCE-81AC-90179235C3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42</xdr:col>
      <xdr:colOff>0</xdr:colOff>
      <xdr:row>7</xdr:row>
      <xdr:rowOff>0</xdr:rowOff>
    </xdr:from>
    <xdr:to>
      <xdr:col>43</xdr:col>
      <xdr:colOff>1215</xdr:colOff>
      <xdr:row>8</xdr:row>
      <xdr:rowOff>1129</xdr:rowOff>
    </xdr:to>
    <xdr:graphicFrame macro="">
      <xdr:nvGraphicFramePr>
        <xdr:cNvPr id="44" name="Chart 43">
          <a:extLst>
            <a:ext uri="{FF2B5EF4-FFF2-40B4-BE49-F238E27FC236}">
              <a16:creationId xmlns:a16="http://schemas.microsoft.com/office/drawing/2014/main" id="{D46031B5-ACB5-4677-99EC-C1CD357FF8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42</xdr:col>
      <xdr:colOff>0</xdr:colOff>
      <xdr:row>9</xdr:row>
      <xdr:rowOff>0</xdr:rowOff>
    </xdr:from>
    <xdr:to>
      <xdr:col>43</xdr:col>
      <xdr:colOff>1215</xdr:colOff>
      <xdr:row>10</xdr:row>
      <xdr:rowOff>1129</xdr:rowOff>
    </xdr:to>
    <xdr:graphicFrame macro="">
      <xdr:nvGraphicFramePr>
        <xdr:cNvPr id="45" name="Chart 44">
          <a:extLst>
            <a:ext uri="{FF2B5EF4-FFF2-40B4-BE49-F238E27FC236}">
              <a16:creationId xmlns:a16="http://schemas.microsoft.com/office/drawing/2014/main" id="{9F733D21-5BB3-4392-9B5D-28E863ACE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42</xdr:col>
      <xdr:colOff>0</xdr:colOff>
      <xdr:row>11</xdr:row>
      <xdr:rowOff>0</xdr:rowOff>
    </xdr:from>
    <xdr:to>
      <xdr:col>43</xdr:col>
      <xdr:colOff>1215</xdr:colOff>
      <xdr:row>12</xdr:row>
      <xdr:rowOff>1130</xdr:rowOff>
    </xdr:to>
    <xdr:graphicFrame macro="">
      <xdr:nvGraphicFramePr>
        <xdr:cNvPr id="46" name="Chart 45">
          <a:extLst>
            <a:ext uri="{FF2B5EF4-FFF2-40B4-BE49-F238E27FC236}">
              <a16:creationId xmlns:a16="http://schemas.microsoft.com/office/drawing/2014/main" id="{C94D3F7A-31B4-42B8-961F-71184F849F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42</xdr:col>
      <xdr:colOff>0</xdr:colOff>
      <xdr:row>13</xdr:row>
      <xdr:rowOff>0</xdr:rowOff>
    </xdr:from>
    <xdr:to>
      <xdr:col>43</xdr:col>
      <xdr:colOff>1215</xdr:colOff>
      <xdr:row>14</xdr:row>
      <xdr:rowOff>1130</xdr:rowOff>
    </xdr:to>
    <xdr:graphicFrame macro="">
      <xdr:nvGraphicFramePr>
        <xdr:cNvPr id="47" name="Chart 46">
          <a:extLst>
            <a:ext uri="{FF2B5EF4-FFF2-40B4-BE49-F238E27FC236}">
              <a16:creationId xmlns:a16="http://schemas.microsoft.com/office/drawing/2014/main" id="{325D0128-20AA-439A-A8F3-57FC5A60B0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42</xdr:col>
      <xdr:colOff>0</xdr:colOff>
      <xdr:row>15</xdr:row>
      <xdr:rowOff>0</xdr:rowOff>
    </xdr:from>
    <xdr:to>
      <xdr:col>43</xdr:col>
      <xdr:colOff>1215</xdr:colOff>
      <xdr:row>16</xdr:row>
      <xdr:rowOff>1129</xdr:rowOff>
    </xdr:to>
    <xdr:graphicFrame macro="">
      <xdr:nvGraphicFramePr>
        <xdr:cNvPr id="48" name="Chart 47">
          <a:extLst>
            <a:ext uri="{FF2B5EF4-FFF2-40B4-BE49-F238E27FC236}">
              <a16:creationId xmlns:a16="http://schemas.microsoft.com/office/drawing/2014/main" id="{787B9604-D157-41F3-B2BA-EA1814377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19049</xdr:colOff>
      <xdr:row>1</xdr:row>
      <xdr:rowOff>31749</xdr:rowOff>
    </xdr:from>
    <xdr:to>
      <xdr:col>19</xdr:col>
      <xdr:colOff>19049</xdr:colOff>
      <xdr:row>35</xdr:row>
      <xdr:rowOff>171449</xdr:rowOff>
    </xdr:to>
    <xdr:graphicFrame macro="">
      <xdr:nvGraphicFramePr>
        <xdr:cNvPr id="2" name="Chart 1">
          <a:extLst>
            <a:ext uri="{FF2B5EF4-FFF2-40B4-BE49-F238E27FC236}">
              <a16:creationId xmlns:a16="http://schemas.microsoft.com/office/drawing/2014/main" id="{1F5D4FDC-BB37-471B-AA50-FD90D7637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263071</xdr:colOff>
      <xdr:row>1</xdr:row>
      <xdr:rowOff>-1</xdr:rowOff>
    </xdr:from>
    <xdr:to>
      <xdr:col>37</xdr:col>
      <xdr:colOff>263072</xdr:colOff>
      <xdr:row>35</xdr:row>
      <xdr:rowOff>139699</xdr:rowOff>
    </xdr:to>
    <xdr:graphicFrame macro="">
      <xdr:nvGraphicFramePr>
        <xdr:cNvPr id="3" name="Chart 2">
          <a:extLst>
            <a:ext uri="{FF2B5EF4-FFF2-40B4-BE49-F238E27FC236}">
              <a16:creationId xmlns:a16="http://schemas.microsoft.com/office/drawing/2014/main" id="{2E76D70B-0B2D-477B-940C-3243AAF43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40</xdr:row>
      <xdr:rowOff>0</xdr:rowOff>
    </xdr:from>
    <xdr:to>
      <xdr:col>19</xdr:col>
      <xdr:colOff>0</xdr:colOff>
      <xdr:row>74</xdr:row>
      <xdr:rowOff>139700</xdr:rowOff>
    </xdr:to>
    <xdr:graphicFrame macro="">
      <xdr:nvGraphicFramePr>
        <xdr:cNvPr id="4" name="Chart 3">
          <a:extLst>
            <a:ext uri="{FF2B5EF4-FFF2-40B4-BE49-F238E27FC236}">
              <a16:creationId xmlns:a16="http://schemas.microsoft.com/office/drawing/2014/main" id="{352CCC81-DD7C-4F5B-9AAA-C5380D6662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268941</xdr:colOff>
      <xdr:row>40</xdr:row>
      <xdr:rowOff>0</xdr:rowOff>
    </xdr:from>
    <xdr:to>
      <xdr:col>37</xdr:col>
      <xdr:colOff>268940</xdr:colOff>
      <xdr:row>74</xdr:row>
      <xdr:rowOff>139700</xdr:rowOff>
    </xdr:to>
    <xdr:graphicFrame macro="">
      <xdr:nvGraphicFramePr>
        <xdr:cNvPr id="5" name="Chart 4">
          <a:extLst>
            <a:ext uri="{FF2B5EF4-FFF2-40B4-BE49-F238E27FC236}">
              <a16:creationId xmlns:a16="http://schemas.microsoft.com/office/drawing/2014/main" id="{59EA2C08-818F-4730-93AF-C2DB794258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443.578594328705" missingItemsLimit="0" createdVersion="6" refreshedVersion="8" minRefreshableVersion="3" recordCount="153" xr:uid="{00000000-000A-0000-FFFF-FFFF00000000}">
  <cacheSource type="worksheet">
    <worksheetSource name="tblRisk"/>
  </cacheSource>
  <cacheFields count="69">
    <cacheField name="Risk #" numFmtId="0">
      <sharedItems containsSemiMixedTypes="0" containsString="0" containsNumber="1" containsInteger="1" minValue="1" maxValue="153"/>
    </cacheField>
    <cacheField name="Standard" numFmtId="0">
      <sharedItems count="1">
        <s v="CIS CSC v8"/>
      </sharedItems>
    </cacheField>
    <cacheField name="Standard Controls" numFmtId="0">
      <sharedItems/>
    </cacheField>
    <cacheField name="Standard Control Description" numFmtId="0">
      <sharedItems longText="1"/>
    </cacheField>
    <cacheField name="NIST CSF Safeguard Function" numFmtId="49">
      <sharedItems/>
    </cacheField>
    <cacheField name="IG1" numFmtId="0">
      <sharedItems containsBlank="1"/>
    </cacheField>
    <cacheField name="IG2" numFmtId="0">
      <sharedItems containsBlank="1"/>
    </cacheField>
    <cacheField name="IG3" numFmtId="0">
      <sharedItems/>
    </cacheField>
    <cacheField name="Defends Against Malware" numFmtId="0">
      <sharedItems/>
    </cacheField>
    <cacheField name="Defends Against Ransomware" numFmtId="0">
      <sharedItems/>
    </cacheField>
    <cacheField name="Defends Against Web App Hacking" numFmtId="0">
      <sharedItems/>
    </cacheField>
    <cacheField name="Defends Against Privilege Misuse" numFmtId="0">
      <sharedItems/>
    </cacheField>
    <cacheField name="Defends Against Targeted Intrusions" numFmtId="0">
      <sharedItems/>
    </cacheField>
    <cacheField name="Defends against All Attack Types" numFmtId="0">
      <sharedItems containsSemiMixedTypes="0" containsString="0" containsNumber="1" containsInteger="1" minValue="0" maxValue="5"/>
    </cacheField>
    <cacheField name="Common Security Program" numFmtId="0">
      <sharedItems count="16">
        <s v="Asset Management"/>
        <s v="Vulnerability Management"/>
        <s v="Data Classification &amp; Handling"/>
        <s v="Access Control"/>
        <s v="Media Security"/>
        <s v="Network Architecture"/>
        <s v="Monitoring &amp; Logging"/>
        <s v="System Management"/>
        <s v="Network Device Management"/>
        <s v="Credential Management"/>
        <s v="Application Management"/>
        <s v="BC/DR"/>
        <s v="Security Awareness"/>
        <s v="Third Party Security"/>
        <s v="Secure Application Development"/>
        <s v="Incident Response"/>
      </sharedItems>
    </cacheField>
    <cacheField name="Common Security Control" numFmtId="0">
      <sharedItems count="2">
        <s v="Governance"/>
        <s v="Operation"/>
      </sharedItems>
    </cacheField>
    <cacheField name="Threat Cluster" numFmtId="0">
      <sharedItems count="9">
        <s v="Physical Facility"/>
        <s v="Hacking System"/>
        <s v="Hacking Web"/>
        <s v="Personnel Error"/>
        <s v="Personnel Misuse"/>
        <s v="Physical Asset Loss"/>
        <s v="Malware"/>
        <s v="System Failure"/>
        <s v="Social engineering"/>
      </sharedItems>
    </cacheField>
    <cacheField name="Asset Designation " numFmtId="0">
      <sharedItems/>
    </cacheField>
    <cacheField name="NIST CSF (800-171)" numFmtId="0">
      <sharedItems longText="1"/>
    </cacheField>
    <cacheField name="Vulnerability" numFmtId="0">
      <sharedItems/>
    </cacheField>
    <cacheField name="Threat" numFmtId="0">
      <sharedItems/>
    </cacheField>
    <cacheField name="Observed Control(s)" numFmtId="0">
      <sharedItems longText="1"/>
    </cacheField>
    <cacheField name="Specific Control Gap" numFmtId="0">
      <sharedItems/>
    </cacheField>
    <cacheField name="Associated Risk" numFmtId="0">
      <sharedItems/>
    </cacheField>
    <cacheField name="HIT Quintile" numFmtId="1">
      <sharedItems containsSemiMixedTypes="0" containsString="0" containsNumber="1" containsInteger="1" minValue="1" maxValue="3"/>
    </cacheField>
    <cacheField name="Control Maturity" numFmtId="0">
      <sharedItems containsSemiMixedTypes="0" containsString="0" containsNumber="1" containsInteger="1" minValue="1" maxValue="5"/>
    </cacheField>
    <cacheField name="Likelihood of Control Failure" numFmtId="0">
      <sharedItems/>
    </cacheField>
    <cacheField name="Likelihood Score" numFmtId="0">
      <sharedItems containsSemiMixedTypes="0" containsString="0" containsNumber="1" containsInteger="1" minValue="1" maxValue="4"/>
    </cacheField>
    <cacheField name="Impact to Mission" numFmtId="0">
      <sharedItems containsSemiMixedTypes="0" containsString="0" containsNumber="1" containsInteger="1" minValue="1" maxValue="4"/>
    </cacheField>
    <cacheField name="Impact to Objectives" numFmtId="0">
      <sharedItems containsSemiMixedTypes="0" containsString="0" containsNumber="1" containsInteger="1" minValue="1" maxValue="4"/>
    </cacheField>
    <cacheField name="Impact to Obligations" numFmtId="0">
      <sharedItems containsSemiMixedTypes="0" containsString="0" containsNumber="1" containsInteger="1" minValue="2" maxValue="4"/>
    </cacheField>
    <cacheField name="Impact Score" numFmtId="0">
      <sharedItems containsSemiMixedTypes="0" containsString="0" containsNumber="1" containsInteger="1" minValue="2" maxValue="4"/>
    </cacheField>
    <cacheField name="Risk Score" numFmtId="0">
      <sharedItems containsSemiMixedTypes="0" containsString="0" containsNumber="1" containsInteger="1" minValue="2" maxValue="16"/>
    </cacheField>
    <cacheField name="Risk Level" numFmtId="0">
      <sharedItems containsSemiMixedTypes="0" containsString="0" containsNumber="1" containsInteger="1" minValue="2" maxValue="16"/>
    </cacheField>
    <cacheField name="Acceptable Level of Risk" numFmtId="0">
      <sharedItems containsSemiMixedTypes="0" containsString="0" containsNumber="1" containsInteger="1" minValue="9" maxValue="9"/>
    </cacheField>
    <cacheField name="Current Maturity" numFmtId="0">
      <sharedItems containsSemiMixedTypes="0" containsString="0" containsNumber="1" containsInteger="1" minValue="1" maxValue="5"/>
    </cacheField>
    <cacheField name="Current Threat Cluster" numFmtId="0">
      <sharedItems/>
    </cacheField>
    <cacheField name="Current Level of Risk" numFmtId="0">
      <sharedItems containsSemiMixedTypes="0" containsString="0" containsNumber="1" containsInteger="1" minValue="2" maxValue="16"/>
    </cacheField>
    <cacheField name="Risk Treatment Option" numFmtId="0">
      <sharedItems/>
    </cacheField>
    <cacheField name="Risk Treatment Program" numFmtId="0">
      <sharedItems/>
    </cacheField>
    <cacheField name="Risk Treatment Safeguard" numFmtId="0">
      <sharedItems longText="1"/>
    </cacheField>
    <cacheField name="Specific Safeguard Recommendation" numFmtId="0">
      <sharedItems containsBlank="1"/>
    </cacheField>
    <cacheField name="Risk Treatment Activity" numFmtId="0">
      <sharedItems/>
    </cacheField>
    <cacheField name="Safeguard Threat Cluster" numFmtId="0">
      <sharedItems/>
    </cacheField>
    <cacheField name="Safeguard HIT Quintile" numFmtId="0">
      <sharedItems containsSemiMixedTypes="0" containsString="0" containsNumber="1" containsInteger="1" minValue="1" maxValue="3"/>
    </cacheField>
    <cacheField name="Control Maturity after SG" numFmtId="0">
      <sharedItems containsSemiMixedTypes="0" containsString="0" containsNumber="1" containsInteger="1" minValue="2" maxValue="5"/>
    </cacheField>
    <cacheField name="Likelihood of Control Failure after SG" numFmtId="0">
      <sharedItems/>
    </cacheField>
    <cacheField name="Likelihood Score with Safeguard in Place" numFmtId="0">
      <sharedItems containsSemiMixedTypes="0" containsString="0" containsNumber="1" containsInteger="1" minValue="1" maxValue="4"/>
    </cacheField>
    <cacheField name="Impact to Mission With Safeguard in Place" numFmtId="0">
      <sharedItems containsSemiMixedTypes="0" containsString="0" containsNumber="1" containsInteger="1" minValue="1" maxValue="4"/>
    </cacheField>
    <cacheField name="Impact to Objectives With Safeguard in Place" numFmtId="0">
      <sharedItems containsSemiMixedTypes="0" containsString="0" containsNumber="1" containsInteger="1" minValue="1" maxValue="4"/>
    </cacheField>
    <cacheField name="Impact to Obligations With Safeguard in Place" numFmtId="0">
      <sharedItems containsSemiMixedTypes="0" containsString="0" containsNumber="1" containsInteger="1" minValue="2" maxValue="4"/>
    </cacheField>
    <cacheField name="Impact Score with Safeguard in Place" numFmtId="0">
      <sharedItems containsSemiMixedTypes="0" containsString="0" containsNumber="1" containsInteger="1" minValue="2" maxValue="4"/>
    </cacheField>
    <cacheField name="Risk Score With Safeguard in Place" numFmtId="1">
      <sharedItems containsSemiMixedTypes="0" containsString="0" containsNumber="1" containsInteger="1" minValue="2" maxValue="8"/>
    </cacheField>
    <cacheField name="Risk Level With Safeguard in Place" numFmtId="0">
      <sharedItems containsSemiMixedTypes="0" containsString="0" containsNumber="1" containsInteger="1" minValue="2" maxValue="8"/>
    </cacheField>
    <cacheField name="Safeguard Status" numFmtId="0">
      <sharedItems/>
    </cacheField>
    <cacheField name="Due Date" numFmtId="14">
      <sharedItems/>
    </cacheField>
    <cacheField name="Comments" numFmtId="0">
      <sharedItems containsNonDate="0" containsString="0" containsBlank="1"/>
    </cacheField>
    <cacheField name="Scenario Builder Status" numFmtId="0">
      <sharedItems/>
    </cacheField>
    <cacheField name="Scenario Builder Current Risk" numFmtId="0">
      <sharedItems containsSemiMixedTypes="0" containsString="0" containsNumber="1" containsInteger="1" minValue="2" maxValue="16"/>
    </cacheField>
    <cacheField name="Lookup" numFmtId="0">
      <sharedItems/>
    </cacheField>
    <cacheField name="Initial Recon" numFmtId="0">
      <sharedItems containsBlank="1"/>
    </cacheField>
    <cacheField name="Acquire / Develop Tools" numFmtId="0">
      <sharedItems containsBlank="1"/>
    </cacheField>
    <cacheField name="Delivery" numFmtId="0">
      <sharedItems containsBlank="1"/>
    </cacheField>
    <cacheField name="Initial Compromise" numFmtId="0">
      <sharedItems containsBlank="1"/>
    </cacheField>
    <cacheField name="Misuse /Escalate Privilege" numFmtId="0">
      <sharedItems containsBlank="1"/>
    </cacheField>
    <cacheField name="Internal Recon" numFmtId="0">
      <sharedItems containsBlank="1"/>
    </cacheField>
    <cacheField name="Lateral Movement" numFmtId="0">
      <sharedItems containsBlank="1"/>
    </cacheField>
    <cacheField name="Establish Persistence" numFmtId="0">
      <sharedItems containsBlank="1"/>
    </cacheField>
    <cacheField name="Execute Mission Objectiv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3">
  <r>
    <n v="1"/>
    <x v="0"/>
    <s v="1.1 | Inventory and Control of Enterprise Assets | Establish and Maintain Detailed Enterprise Asset Inventory (Identify) (IG1, IG2, IG3)"/>
    <s v="Establish and maintain an accurate, detailed, and up-to-date inventory of all enterprise assets with the potential to store or process data, to include: end-user devices (including portable and mobile), network devices, non-computing/IoT devices, and servers. Ensure the inventory records the network address (if static), hardware address, machine name, enterprise asset owner, department for each asset, and whether the asset has been approved to connect to the network. For mobile end-user devices, MDM type tools can support this process, where appropriate. This inventory includes assets connected to the infrastructure physically, virtually, remotely, and those within cloud environments. Additionally, it includes assets that are regularly connected to the enterprise’s network infrastructure, even if they are not under control of the enterprise. Review and update the inventory of all enterprise assets bi-annually, or more frequently."/>
    <s v="Identify"/>
    <s v="x"/>
    <s v="x"/>
    <s v="x"/>
    <s v="No"/>
    <s v="No"/>
    <s v="No"/>
    <s v="No"/>
    <s v="No"/>
    <n v="0"/>
    <x v="0"/>
    <x v="0"/>
    <x v="0"/>
    <s v="Devices"/>
    <s v="N/A"/>
    <s v="Personnel may not be aware of how uncontrolled systems, applications, and data create risks to the organization and others."/>
    <s v="Information assets may not be apprpriately secured, even when appropriate security standards protect other assets._x000a__x000a_Compromise of information assets may not be identified."/>
    <s v="Enterprise asset inventory is managed through ITAM, SCCM, Intune and Service Manager, with detailed documentation of asset status, location, and user assignments. Mobile devices are managed through Intune, and Macs are being integrated via JAMF Pro. Inventory updates occur regularly, reaching 97% in effective management for the past 9 months. LogicGate is used for tracking findings and updates."/>
    <s v="No gaps identified."/>
    <s v="Failure to establish and maintain a detailed asset inventory may result in unidentified and unmanaged assets, increasing the risk of data breaches or security incidents."/>
    <n v="3"/>
    <n v="4"/>
    <s v="Foreseeable, not expected"/>
    <n v="2"/>
    <n v="1"/>
    <n v="1"/>
    <n v="2"/>
    <n v="2"/>
    <n v="4"/>
    <n v="4"/>
    <n v="9"/>
    <n v="4"/>
    <s v="Physical Facility"/>
    <n v="4"/>
    <s v="Accept"/>
    <s v=""/>
    <s v=""/>
    <m/>
    <s v=""/>
    <s v="Physical Facility"/>
    <n v="3"/>
    <n v="4"/>
    <s v="Foreseeable, not expected"/>
    <n v="2"/>
    <n v="1"/>
    <n v="1"/>
    <n v="2"/>
    <n v="2"/>
    <n v="4"/>
    <n v="4"/>
    <s v=""/>
    <s v=""/>
    <m/>
    <s v=""/>
    <n v="4"/>
    <s v="Asset ManagementGovernanceDevices"/>
    <m/>
    <m/>
    <m/>
    <m/>
    <m/>
    <m/>
    <m/>
    <m/>
    <m/>
  </r>
  <r>
    <n v="2"/>
    <x v="0"/>
    <s v="1.2 | Inventory and Control of Enterprise Assets | Address Unauthorized Assets (Respond) (IG1, IG2, IG3)"/>
    <s v="Ensure that a process exists to address unauthorized assets on a weekly basis. The enterprise may choose to remove the asset from the network, deny the asset from connecting remotely to the network, or quarantine the asset."/>
    <s v="Respond"/>
    <s v="x"/>
    <s v="x"/>
    <s v="x"/>
    <s v="No"/>
    <s v="No"/>
    <s v="No"/>
    <s v="No"/>
    <s v="No"/>
    <n v="0"/>
    <x v="0"/>
    <x v="1"/>
    <x v="1"/>
    <s v="Device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Unauthorized assets are monitored and managed using Artic Wolf alerts. Any unauthorized changes are tracked, and metrics are maintained (e.g., 0.2% unauthorized changes). Systems such as NAC 802.1x domain join, EEP/TLS, and Intune for authorization help in identifying and managing unauthorized assets."/>
    <s v="No gaps identified."/>
    <s v="Failure to address unauthorized assets may allow unapproved and potentially malicious devices to access the network, leading to security breaches."/>
    <n v="2"/>
    <n v="5"/>
    <s v="Not Foreseeable"/>
    <n v="1"/>
    <n v="1"/>
    <n v="1"/>
    <n v="2"/>
    <n v="2"/>
    <n v="2"/>
    <n v="2"/>
    <n v="9"/>
    <n v="5"/>
    <s v="Hacking System"/>
    <n v="2"/>
    <s v="Accept"/>
    <s v=""/>
    <s v=""/>
    <m/>
    <s v=""/>
    <s v="Hacking System"/>
    <n v="2"/>
    <n v="5"/>
    <s v="Not Foreseeable"/>
    <n v="1"/>
    <n v="1"/>
    <n v="1"/>
    <n v="2"/>
    <n v="2"/>
    <n v="2"/>
    <n v="2"/>
    <s v=""/>
    <s v=""/>
    <m/>
    <s v=""/>
    <n v="2"/>
    <s v="Asset ManagementOperationDevices"/>
    <m/>
    <m/>
    <m/>
    <m/>
    <m/>
    <m/>
    <m/>
    <m/>
    <m/>
  </r>
  <r>
    <n v="3"/>
    <x v="0"/>
    <s v="1.3 | Inventory and Control of Enterprise Assets | Utilize an Active Discovery Tool (Detect) (IG2, IG3)"/>
    <s v="Utilize an active discovery tool to identify assets connected to the enterprise’s network. Configure the active discovery tool to execute daily, or more frequently."/>
    <s v="Detect"/>
    <m/>
    <s v="x"/>
    <s v="x"/>
    <s v="No"/>
    <s v="No"/>
    <s v="No"/>
    <s v="No"/>
    <s v="No"/>
    <n v="0"/>
    <x v="0"/>
    <x v="1"/>
    <x v="1"/>
    <s v="Device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Active discovery of assets is performed using SCCM and Intune, which help in identifying and tracking assets. DHCP reservations and logging are used to verify assets, with alerts for unauthorized devices managed through Artic Wolf."/>
    <s v="No gaps identified."/>
    <s v="Failure to utilize an active discovery tool may result in unknown and unmanaged assets on the network, increasing the risk of vulnerabilities and unauthorized access."/>
    <n v="2"/>
    <n v="5"/>
    <s v="Not Foreseeable"/>
    <n v="1"/>
    <n v="1"/>
    <n v="1"/>
    <n v="2"/>
    <n v="2"/>
    <n v="2"/>
    <n v="2"/>
    <n v="9"/>
    <n v="5"/>
    <s v="Hacking System"/>
    <n v="2"/>
    <s v="Accept"/>
    <s v=""/>
    <s v=""/>
    <m/>
    <s v=""/>
    <s v="Hacking System"/>
    <n v="2"/>
    <n v="5"/>
    <s v="Not Foreseeable"/>
    <n v="1"/>
    <n v="1"/>
    <n v="1"/>
    <n v="2"/>
    <n v="2"/>
    <n v="2"/>
    <n v="2"/>
    <s v=""/>
    <s v=""/>
    <m/>
    <s v=""/>
    <n v="2"/>
    <s v="Asset ManagementOperationDevices"/>
    <m/>
    <m/>
    <m/>
    <m/>
    <m/>
    <m/>
    <m/>
    <m/>
    <m/>
  </r>
  <r>
    <n v="4"/>
    <x v="0"/>
    <s v="1.4 | Inventory and Control of Enterprise Assets | Use Dynamic Host Configuration Protocol (DHCP) Logging to Update Enterprise Asset Inventory (Identify) (IG2, IG3)"/>
    <s v="Use DHCP logging on all DHCP servers or Internet Protocol (IP) address management tools to update the enterprise’s asset inventory. Review and use logs to update the enterprise’s asset inventory weekly, or more frequently."/>
    <s v="Identify"/>
    <m/>
    <s v="x"/>
    <s v="x"/>
    <s v="No"/>
    <s v="No"/>
    <s v="No"/>
    <s v="No"/>
    <s v="No"/>
    <n v="0"/>
    <x v="0"/>
    <x v="1"/>
    <x v="0"/>
    <s v="Device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DHCP logging is utilized to verify asset inventory, with alerts set up for unauthorized devices through Artic Wolf. The logs are reviewed regularly to ensure the inventory is up-to-date."/>
    <s v="No gaps identified."/>
    <s v="Failure to use DHCP logging to update the asset inventory may lead to incomplete or outdated asset records, increasing the risk of security incidents."/>
    <n v="3"/>
    <n v="5"/>
    <s v="Not Foreseeable"/>
    <n v="1"/>
    <n v="1"/>
    <n v="1"/>
    <n v="2"/>
    <n v="2"/>
    <n v="2"/>
    <n v="2"/>
    <n v="9"/>
    <n v="5"/>
    <s v="Physical Facility"/>
    <n v="2"/>
    <s v="Accept"/>
    <s v=""/>
    <s v=""/>
    <m/>
    <s v=""/>
    <s v="Physical Facility"/>
    <n v="3"/>
    <n v="5"/>
    <s v="Not Foreseeable"/>
    <n v="1"/>
    <n v="1"/>
    <n v="1"/>
    <n v="2"/>
    <n v="2"/>
    <n v="2"/>
    <n v="2"/>
    <s v=""/>
    <s v=""/>
    <m/>
    <s v=""/>
    <n v="2"/>
    <s v="Asset ManagementOperationDevices"/>
    <m/>
    <m/>
    <m/>
    <m/>
    <m/>
    <m/>
    <m/>
    <m/>
    <m/>
  </r>
  <r>
    <n v="5"/>
    <x v="0"/>
    <s v="1.5 | Inventory and Control of Enterprise Assets | Use a Passive Asset Discovery Tool (Detect) (IG3)"/>
    <s v="Use a passive discovery tool to identify assets connected to the enterprise’s network. Review and use scans to update the enterprise’s asset inventory at least weekly, or more frequently."/>
    <s v="Detect"/>
    <m/>
    <m/>
    <s v="x"/>
    <s v="No"/>
    <s v="No"/>
    <s v="No"/>
    <s v="No"/>
    <s v="No"/>
    <n v="0"/>
    <x v="0"/>
    <x v="1"/>
    <x v="0"/>
    <s v="Device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Passive discovery tools, such as SCCM, are used to identify and manage assets connected to the network. Regular scans and reviews are conducted to update the asset inventory."/>
    <s v="No gaps identified."/>
    <s v="Failure to use a passive asset discovery tool may result in unidentified assets on the network, leading to potential security vulnerabilities and unauthorized access."/>
    <n v="3"/>
    <n v="5"/>
    <s v="Not Foreseeable"/>
    <n v="1"/>
    <n v="1"/>
    <n v="1"/>
    <n v="2"/>
    <n v="2"/>
    <n v="2"/>
    <n v="2"/>
    <n v="9"/>
    <n v="5"/>
    <s v="Physical Facility"/>
    <n v="2"/>
    <s v="Accept"/>
    <s v=""/>
    <s v=""/>
    <m/>
    <s v=""/>
    <s v="Physical Facility"/>
    <n v="3"/>
    <n v="5"/>
    <s v="Not Foreseeable"/>
    <n v="1"/>
    <n v="1"/>
    <n v="1"/>
    <n v="2"/>
    <n v="2"/>
    <n v="2"/>
    <n v="2"/>
    <s v=""/>
    <s v=""/>
    <m/>
    <s v=""/>
    <n v="2"/>
    <s v="Asset ManagementOperationDevices"/>
    <m/>
    <m/>
    <m/>
    <m/>
    <m/>
    <m/>
    <m/>
    <m/>
    <m/>
  </r>
  <r>
    <n v="6"/>
    <x v="0"/>
    <s v="2.1 | Inventory and Control of Software Assets | Establish and Maintain a Software Inventory (Identify) (IG1, IG2, IG3)"/>
    <s v="Establish and maintain a detailed inventory of all licensed software installed on enterprise assets. The software inventory must document the title, publisher, initial install/use date, and business purpose for each entry; where appropriate, include the Uniform Resource Locator (URL), app store(s), version(s), deployment mechanism, and decommission date. Review and update the software inventory bi-annually, or more frequently."/>
    <s v="Identify"/>
    <s v="x"/>
    <s v="x"/>
    <s v="x"/>
    <s v="Yes"/>
    <s v="Yes"/>
    <s v="Yes"/>
    <s v="Yes"/>
    <s v="Yes"/>
    <n v="5"/>
    <x v="0"/>
    <x v="0"/>
    <x v="2"/>
    <s v="Applications"/>
    <s v="N/A"/>
    <s v="Personnel may not be aware of how uncontrolled systems, applications, and data create risks to the organization and others."/>
    <s v="Information assets may not be appropriately secured, even when appropriate security standards protect other assets._x000a__x000a_Compromise of information assets may not be identified."/>
    <s v="Software inventory is managed through ITAM, with all major software assets documented. Regular updates and reviews are conducted, and the Application Maintenance Team tracks installed software in the Roam Environment. "/>
    <s v="No gaps identified."/>
    <s v="Failure to establish and maintain a software inventory may result in untracked software, increasing the risk of unlicensed or vulnerable software being used within the enterprise."/>
    <n v="1"/>
    <n v="4"/>
    <s v="Not Foreseeable"/>
    <n v="1"/>
    <n v="2"/>
    <n v="2"/>
    <n v="2"/>
    <n v="2"/>
    <n v="2"/>
    <n v="2"/>
    <n v="9"/>
    <n v="4"/>
    <s v="Hacking Web"/>
    <n v="2"/>
    <s v="Accept"/>
    <s v=""/>
    <s v=""/>
    <m/>
    <s v=""/>
    <s v="Hacking Web"/>
    <n v="1"/>
    <n v="4"/>
    <s v="Not Foreseeable"/>
    <n v="1"/>
    <n v="2"/>
    <n v="2"/>
    <n v="2"/>
    <n v="2"/>
    <n v="2"/>
    <n v="2"/>
    <s v=""/>
    <s v=""/>
    <m/>
    <s v=""/>
    <n v="2"/>
    <s v="Asset ManagementGovernanceApplications"/>
    <m/>
    <m/>
    <m/>
    <s v="x"/>
    <m/>
    <m/>
    <m/>
    <m/>
    <m/>
  </r>
  <r>
    <n v="7"/>
    <x v="0"/>
    <s v="2.2 | Inventory and Control of Software Assets | Ensure Authorized Software is Currently Supported (Identify) (IG1, IG2, IG3)"/>
    <s v="Ensure that only currently supported software is designated as authorized in the software inventory for enterprise assets. If software is unsupported, yet necessary for the fulfillment of the enterprise’s mission, document an exception detailing mitigating controls and residual risk acceptance. For any unsupported software without an exception documentation, designate as unauthorized. Review the software list to verify software support at least monthly, or more frequently."/>
    <s v="Identify"/>
    <s v="x"/>
    <s v="x"/>
    <s v="x"/>
    <s v="Yes"/>
    <s v="Yes"/>
    <s v="Yes"/>
    <s v="Yes"/>
    <s v="Yes"/>
    <n v="5"/>
    <x v="1"/>
    <x v="1"/>
    <x v="2"/>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uthorized software is tracked, and compliance is ensured by the Audit &amp; Compliance Team. Unsupported software is documented with mitigating controls and residual risk acceptance. Software support is reviewed monthly."/>
    <s v="No gaps identified."/>
    <s v="Failure to ensure authorized software is currently supported may lead to the use of outdated and unsupported software, increasing the risk of vulnerabilities and security breaches."/>
    <n v="1"/>
    <n v="5"/>
    <s v="Not Foreseeable"/>
    <n v="1"/>
    <n v="2"/>
    <n v="2"/>
    <n v="2"/>
    <n v="2"/>
    <n v="2"/>
    <n v="2"/>
    <n v="9"/>
    <n v="5"/>
    <s v="Hacking Web"/>
    <n v="2"/>
    <s v="Accept"/>
    <s v=""/>
    <s v=""/>
    <m/>
    <s v=""/>
    <s v="Hacking Web"/>
    <n v="1"/>
    <n v="5"/>
    <s v="Not Foreseeable"/>
    <n v="1"/>
    <n v="2"/>
    <n v="2"/>
    <n v="2"/>
    <n v="2"/>
    <n v="2"/>
    <n v="2"/>
    <s v=""/>
    <s v=""/>
    <m/>
    <s v=""/>
    <n v="2"/>
    <s v="Vulnerability ManagementOperationApplications"/>
    <m/>
    <m/>
    <m/>
    <s v="x"/>
    <m/>
    <m/>
    <m/>
    <m/>
    <m/>
  </r>
  <r>
    <n v="8"/>
    <x v="0"/>
    <s v="2.3 | Inventory and Control of Software Assets | Address Unauthorized Software (Respond) (IG1, IG2, IG3)"/>
    <s v="Ensure that unauthorized software is either removed from use on enterprise assets or receives a documented exception. Review monthly, or more frequently."/>
    <s v="Respond"/>
    <s v="x"/>
    <s v="x"/>
    <s v="x"/>
    <s v="Yes"/>
    <s v="Yes"/>
    <s v="Yes"/>
    <s v="Yes"/>
    <s v="Yes"/>
    <n v="5"/>
    <x v="0"/>
    <x v="1"/>
    <x v="2"/>
    <s v="Application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Unauthorized software is monitored and removed using CrowdStrike, ITAM, JAMF, and Intune. Exceptions are documented, and regular reviews ensure compliance. Users do not have installation privileges to use unauthorized software."/>
    <s v="No gaps identified."/>
    <s v="Failure to address unauthorized software may allow the use of unapproved and potentially harmful software, leading to security vulnerabilities."/>
    <n v="1"/>
    <n v="5"/>
    <s v="Not Foreseeable"/>
    <n v="1"/>
    <n v="2"/>
    <n v="2"/>
    <n v="2"/>
    <n v="2"/>
    <n v="2"/>
    <n v="2"/>
    <n v="9"/>
    <n v="5"/>
    <s v="Hacking Web"/>
    <n v="2"/>
    <s v="Accept"/>
    <s v=""/>
    <s v=""/>
    <m/>
    <s v=""/>
    <s v="Hacking Web"/>
    <n v="1"/>
    <n v="5"/>
    <s v="Not Foreseeable"/>
    <n v="1"/>
    <n v="2"/>
    <n v="2"/>
    <n v="2"/>
    <n v="2"/>
    <n v="2"/>
    <n v="2"/>
    <s v=""/>
    <s v=""/>
    <m/>
    <s v=""/>
    <n v="2"/>
    <s v="Asset ManagementOperationApplications"/>
    <m/>
    <m/>
    <m/>
    <s v="x"/>
    <m/>
    <m/>
    <m/>
    <m/>
    <m/>
  </r>
  <r>
    <n v="9"/>
    <x v="0"/>
    <s v="2.4 | Inventory and Control of Software Assets | Utilize Automated Software Inventory Tools (Detect) (IG2, IG3)"/>
    <s v="Utilize software inventory tools, when possible, throughout the enterprise to automate the discovery and documentation of installed software. "/>
    <s v="Detect"/>
    <m/>
    <s v="x"/>
    <s v="x"/>
    <s v="Yes"/>
    <s v="Yes"/>
    <s v="Yes"/>
    <s v="Yes"/>
    <s v="Yes"/>
    <n v="5"/>
    <x v="0"/>
    <x v="1"/>
    <x v="2"/>
    <s v="Application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Automated software inventory tools are implemented through SCCM, Intune, and JAMF, helping to automate the discovery and documentation process."/>
    <s v="No gaps identified."/>
    <s v="Failure to utilize automated software inventory tools may result in incomplete software tracking, increasing the risk of unapproved software being used."/>
    <n v="1"/>
    <n v="4"/>
    <s v="Not Foreseeable"/>
    <n v="1"/>
    <n v="2"/>
    <n v="2"/>
    <n v="2"/>
    <n v="2"/>
    <n v="2"/>
    <n v="2"/>
    <n v="9"/>
    <n v="4"/>
    <s v="Hacking Web"/>
    <n v="2"/>
    <s v="Accept"/>
    <s v=""/>
    <s v=""/>
    <m/>
    <s v=""/>
    <s v="Hacking Web"/>
    <n v="1"/>
    <n v="4"/>
    <s v="Not Foreseeable"/>
    <n v="1"/>
    <n v="2"/>
    <n v="2"/>
    <n v="2"/>
    <n v="2"/>
    <n v="2"/>
    <n v="2"/>
    <s v=""/>
    <s v=""/>
    <m/>
    <s v=""/>
    <n v="2"/>
    <s v="Asset ManagementOperationApplications"/>
    <m/>
    <m/>
    <m/>
    <s v="x"/>
    <m/>
    <m/>
    <m/>
    <m/>
    <m/>
  </r>
  <r>
    <n v="10"/>
    <x v="0"/>
    <s v="2.5 | Inventory and Control of Software Assets | Allowlist Authorized Software (Protect) (IG2, IG3)"/>
    <s v="Use technical controls, such as application allowlisting, to ensure that only authorized software can execute or be accessed. Reassess bi-annually, or more frequently."/>
    <s v="Protect"/>
    <m/>
    <s v="x"/>
    <s v="x"/>
    <s v="Yes"/>
    <s v="Yes"/>
    <s v="Yes"/>
    <s v="Yes"/>
    <s v="Yes"/>
    <n v="5"/>
    <x v="0"/>
    <x v="1"/>
    <x v="2"/>
    <s v="Application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Application allowlisting is enforced using CrowdStrike, SCCM, ITAM, Intune, and JAMF, ensuring only authorized software can execute. Users do not have localadmin privileges to install software. Crowdstrike automatically blocks malicious software. Reviews and updates occur bi-annually."/>
    <s v="No gaps identified."/>
    <s v="Failure to allowlist authorized software may permit the execution of unauthorized or malicious software, leading to potential security breaches."/>
    <n v="1"/>
    <n v="4"/>
    <s v="Not Foreseeable"/>
    <n v="1"/>
    <n v="2"/>
    <n v="2"/>
    <n v="2"/>
    <n v="2"/>
    <n v="2"/>
    <n v="2"/>
    <n v="9"/>
    <n v="4"/>
    <s v="Hacking Web"/>
    <n v="2"/>
    <s v="Accept"/>
    <s v=""/>
    <s v=""/>
    <m/>
    <s v=""/>
    <s v="Hacking Web"/>
    <n v="1"/>
    <n v="4"/>
    <s v="Not Foreseeable"/>
    <n v="1"/>
    <n v="2"/>
    <n v="2"/>
    <n v="2"/>
    <n v="2"/>
    <n v="2"/>
    <n v="2"/>
    <s v=""/>
    <s v=""/>
    <m/>
    <s v=""/>
    <n v="2"/>
    <s v="Asset ManagementOperationApplications"/>
    <m/>
    <m/>
    <m/>
    <s v="x"/>
    <m/>
    <m/>
    <m/>
    <m/>
    <m/>
  </r>
  <r>
    <n v="11"/>
    <x v="0"/>
    <s v="2.6 | Inventory and Control of Software Assets | Allowlist Authorized Libraries (Protect) (IG2, IG3)"/>
    <s v=" Use technical controls to ensure that only authorized software libraries, such as specific .dll, .ocx, .so, etc., files, are allowed to load into a system process. Block unauthorized libraries from loading into a system process. Reassess bi-annually, or more frequently."/>
    <s v="Protect"/>
    <m/>
    <s v="x"/>
    <s v="x"/>
    <s v="Yes"/>
    <s v="Yes"/>
    <s v="Yes"/>
    <s v="Yes"/>
    <s v="Yes"/>
    <n v="5"/>
    <x v="0"/>
    <x v="1"/>
    <x v="2"/>
    <s v="Application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Malicious software libraries are managed and controlled through CrowdStrike, blocking unauthorized libraries from loading into system processes. Regular reassessments ensure compliance."/>
    <s v="No gaps identified."/>
    <s v="Failure to allowlist authorized libraries may lead to the loading of unauthorized or malicious libraries, increasing the risk of system compromise."/>
    <n v="1"/>
    <n v="4"/>
    <s v="Not Foreseeable"/>
    <n v="1"/>
    <n v="2"/>
    <n v="2"/>
    <n v="2"/>
    <n v="2"/>
    <n v="2"/>
    <n v="2"/>
    <n v="9"/>
    <n v="4"/>
    <s v="Hacking Web"/>
    <n v="2"/>
    <s v="Accept"/>
    <s v=""/>
    <s v=""/>
    <m/>
    <s v=""/>
    <s v="Hacking Web"/>
    <n v="1"/>
    <n v="4"/>
    <s v="Not Foreseeable"/>
    <n v="1"/>
    <n v="2"/>
    <n v="2"/>
    <n v="2"/>
    <n v="2"/>
    <n v="2"/>
    <n v="2"/>
    <s v=""/>
    <s v=""/>
    <m/>
    <s v=""/>
    <n v="2"/>
    <s v="Asset ManagementOperationApplications"/>
    <m/>
    <m/>
    <m/>
    <s v="x"/>
    <m/>
    <m/>
    <m/>
    <m/>
    <m/>
  </r>
  <r>
    <n v="12"/>
    <x v="0"/>
    <s v="2.7 | Inventory and Control of Software Assets | Allowlist Authorized Scripts (Protect) (IG3)"/>
    <s v="Use technical controls, such as digital signatures and version control, to ensure that only authorized scripts, such as specific .ps1, .py, etc., files, are allowed to execute. Block unauthorized scripts from executing. Reassess bi-annually, or more frequently."/>
    <s v="Protect"/>
    <m/>
    <m/>
    <s v="x"/>
    <s v="Yes"/>
    <s v="Yes"/>
    <s v="Yes"/>
    <s v="Yes"/>
    <s v="Yes"/>
    <n v="5"/>
    <x v="0"/>
    <x v="1"/>
    <x v="2"/>
    <s v="Applications"/>
    <s v="ID.AM-1 | Asset Management  - Physical devices and systems within the organization are inventoried_x000a_ID.AM-2 | Asset Management  - Software platforms and applications within the organization are inventoried_x000a_"/>
    <s v="Applications, systems, and data may be unsecured and unmonitored and may permit errors and attacks to expose data, or cause system failure."/>
    <s v="Uncontrolled or compromised systems may attack neighboring information assets within the network."/>
    <s v="Malicious scripts are controlled using digital signatures and version control through CrowdStrike. Malicious scripts are blocked, and bi-annual reassessments ensure compliance."/>
    <s v="No gaps identified."/>
    <s v="Failure to allowlist authorized scripts may result in the execution of unauthorized or harmful scripts, leading to potential security incidents."/>
    <n v="1"/>
    <n v="4"/>
    <s v="Not Foreseeable"/>
    <n v="1"/>
    <n v="2"/>
    <n v="2"/>
    <n v="2"/>
    <n v="2"/>
    <n v="2"/>
    <n v="2"/>
    <n v="9"/>
    <n v="4"/>
    <s v="Hacking Web"/>
    <n v="2"/>
    <s v="Accept"/>
    <s v=""/>
    <s v=""/>
    <m/>
    <s v=""/>
    <s v="Hacking Web"/>
    <n v="1"/>
    <n v="4"/>
    <s v="Not Foreseeable"/>
    <n v="1"/>
    <n v="2"/>
    <n v="2"/>
    <n v="2"/>
    <n v="2"/>
    <n v="2"/>
    <n v="2"/>
    <s v=""/>
    <s v=""/>
    <m/>
    <s v=""/>
    <n v="2"/>
    <s v="Asset ManagementOperationApplications"/>
    <m/>
    <m/>
    <m/>
    <s v="x"/>
    <m/>
    <m/>
    <m/>
    <m/>
    <m/>
  </r>
  <r>
    <n v="13"/>
    <x v="0"/>
    <s v="3.1 | Data Protection | Establish and Maintain a Data Management Process (Identify) (IG1, IG2, IG3)"/>
    <s v="Establish and maintain a data management process. In the process, address data sensitivity, data owner, handling of data, data retention limits, and disposal requirements, based on sensitivity and retention standards for the enterprise. Review and update documentation annually, or when significant enterprise changes occur that could impact this Safeguard."/>
    <s v="Identify"/>
    <s v="x"/>
    <s v="x"/>
    <s v="x"/>
    <s v="Yes"/>
    <s v="Yes"/>
    <s v="Yes"/>
    <s v="Yes"/>
    <s v="Yes"/>
    <n v="5"/>
    <x v="2"/>
    <x v="0"/>
    <x v="3"/>
    <s v="Data"/>
    <s v="N/A"/>
    <s v="Management may not understand expectations for personnel to handle information and information assets in a secure manner."/>
    <s v="Errors while handling confidential information, such as by sending, storing, sharing, printing, disposing of information may lead to information breaches."/>
    <s v="Data management processes are documented and maintained, addressing data sensitivity, ownership, handling, retention, and disposal requirements. Regular reviews and updates are conducted, with inputs from the Data Governance and other committees. Data Governance tools, such as Veronis and Purview, are used for governance and DLP. "/>
    <s v="No gaps identified."/>
    <s v="Failure to establish and maintain a data management process may result in improper handling and protection of sensitive data, leading to potential data breaches."/>
    <n v="2"/>
    <n v="5"/>
    <s v="Not Foreseeable"/>
    <n v="1"/>
    <n v="2"/>
    <n v="3"/>
    <n v="3"/>
    <n v="3"/>
    <n v="3"/>
    <n v="3"/>
    <n v="9"/>
    <n v="5"/>
    <s v="Personnel Error"/>
    <n v="3"/>
    <s v="Accept"/>
    <s v=""/>
    <s v=""/>
    <m/>
    <s v=""/>
    <s v="Personnel Error"/>
    <n v="2"/>
    <n v="5"/>
    <s v="Not Foreseeable"/>
    <n v="1"/>
    <n v="2"/>
    <n v="3"/>
    <n v="3"/>
    <n v="3"/>
    <n v="3"/>
    <n v="3"/>
    <s v=""/>
    <s v=""/>
    <m/>
    <s v=""/>
    <n v="3"/>
    <s v="Data Classification &amp; HandlingGovernanceData"/>
    <m/>
    <m/>
    <m/>
    <m/>
    <m/>
    <m/>
    <s v="x"/>
    <m/>
    <m/>
  </r>
  <r>
    <n v="14"/>
    <x v="0"/>
    <s v="3.2 | Data Protection | Establish and Maintain a Data Inventory (Identify) (IG1, IG2, IG3)"/>
    <s v="Establish and maintain a data inventory, based on the enterprise’s data management process. Inventory sensitive data, at a minimum. Review and update inventory annually, at a minimum, with a priority on sensitive data."/>
    <s v="Identify"/>
    <s v="x"/>
    <s v="x"/>
    <s v="x"/>
    <s v="Yes"/>
    <s v="Yes"/>
    <s v="Yes"/>
    <s v="Yes"/>
    <s v="Yes"/>
    <n v="5"/>
    <x v="0"/>
    <x v="0"/>
    <x v="3"/>
    <s v="Data"/>
    <s v="N/A"/>
    <s v="Personnel may not be aware of how uncontrolled systems, applications, and data create risks to the organization and others."/>
    <s v="Information assets may not be appropriately secured, even when appropriate security standards protect other assets._x000a__x000a_Compromise of information assets may not be identified."/>
    <s v="Data inventory is maintained using tools like Veronis for data discovery, scanning, and tagging. PII is segregated in a separate schema with RBACs in the new data warehouse. Regular reviews and updates are conducted."/>
    <s v="No gaps identified."/>
    <s v="Failure to maintain a data inventory may lead to unmanaged and unprotected sensitive data, increasing the risk of data loss or unauthorized access."/>
    <n v="2"/>
    <n v="5"/>
    <s v="Not Foreseeable"/>
    <n v="1"/>
    <n v="2"/>
    <n v="3"/>
    <n v="3"/>
    <n v="3"/>
    <n v="3"/>
    <n v="3"/>
    <n v="9"/>
    <n v="5"/>
    <s v="Personnel Error"/>
    <n v="3"/>
    <s v="Accept"/>
    <s v=""/>
    <s v=""/>
    <m/>
    <s v=""/>
    <s v="Personnel Error"/>
    <n v="2"/>
    <n v="5"/>
    <s v="Not Foreseeable"/>
    <n v="1"/>
    <n v="2"/>
    <n v="3"/>
    <n v="3"/>
    <n v="3"/>
    <n v="3"/>
    <n v="3"/>
    <s v=""/>
    <s v=""/>
    <m/>
    <s v=""/>
    <n v="3"/>
    <s v="Asset ManagementGovernanceData"/>
    <m/>
    <m/>
    <m/>
    <m/>
    <m/>
    <m/>
    <s v="x"/>
    <m/>
    <m/>
  </r>
  <r>
    <n v="15"/>
    <x v="0"/>
    <s v="3.3 | Data Protection | Configure Data Access Control Lists (Protect) (IG1, IG2, IG3)"/>
    <s v="Configure data access control lists based on a user’s need to know. Apply data access control lists, also known as access permissions, to local and remote file systems, databases, and applications."/>
    <s v="Protect"/>
    <s v="x"/>
    <s v="x"/>
    <s v="x"/>
    <s v="Yes"/>
    <s v="Yes"/>
    <s v="Yes"/>
    <s v="Yes"/>
    <s v="Yes"/>
    <n v="5"/>
    <x v="3"/>
    <x v="1"/>
    <x v="3"/>
    <s v="Data"/>
    <s v="PR.AC-1 | Access Control  - Identities and credentials are managed for authorized devices and users_x000a_PR.AC-3 | Access Control  - Remote access is managed_x000a_PR.AC-4 | Access Control  - Access permissions are managed, incorporating the principles of least privilege and separation of duties_x000a_PR.PT-3 | Protective Technology  - Access to systems and assets is controlled, incorporating the principle of least functionality_x000a_"/>
    <s v="Access privileges may be unmonitored and abused by personnel, disgruntled employees, dismissed employees, or attackers."/>
    <s v="Systems and data may be compromised through unauthorized use of valid access accounts."/>
    <s v="Data access control lists are configured and managed based on the principle of least privilege. Access permissions are regularly reviewed and updated to ensure compliance."/>
    <s v="No gaps identified."/>
    <s v="Failure to configure data access control lists may result in unauthorized access to sensitive data, leading to potential data breaches."/>
    <n v="2"/>
    <n v="5"/>
    <s v="Not Foreseeable"/>
    <n v="1"/>
    <n v="2"/>
    <n v="3"/>
    <n v="3"/>
    <n v="3"/>
    <n v="3"/>
    <n v="3"/>
    <n v="9"/>
    <n v="5"/>
    <s v="Personnel Error"/>
    <n v="3"/>
    <s v="Accept"/>
    <s v=""/>
    <s v=""/>
    <m/>
    <s v=""/>
    <s v="Personnel Error"/>
    <n v="2"/>
    <n v="5"/>
    <s v="Not Foreseeable"/>
    <n v="1"/>
    <n v="2"/>
    <n v="3"/>
    <n v="3"/>
    <n v="3"/>
    <n v="3"/>
    <n v="3"/>
    <s v=""/>
    <s v=""/>
    <m/>
    <s v=""/>
    <n v="3"/>
    <s v="Access ControlOperationData"/>
    <m/>
    <m/>
    <m/>
    <m/>
    <m/>
    <m/>
    <s v="x"/>
    <m/>
    <m/>
  </r>
  <r>
    <n v="16"/>
    <x v="0"/>
    <s v="3.4 | Data Protection | Enforce Data Retention (Protect) (IG1, IG2, IG3)"/>
    <s v="Retain data according to the enterprise’s data management process. Data retention must include both minimum and maximum timelines."/>
    <s v="Protect"/>
    <s v="x"/>
    <s v="x"/>
    <s v="x"/>
    <s v="Yes"/>
    <s v="Yes"/>
    <s v="Yes"/>
    <s v="Yes"/>
    <s v="Yes"/>
    <n v="5"/>
    <x v="2"/>
    <x v="1"/>
    <x v="3"/>
    <s v="Data"/>
    <s v="ID.AM-5 | Asset Management  - Resources (e.g., hardware, devices, data, and software) are prioritized based on their classification, criticality, and business value _x000a_PR.DS-1 | Data Security  - Data-at-rest is protected_x000a_PR.DS-2 | Data Security  - Data-in-transit is protected_x000a_"/>
    <s v="Personnel may not handle information and information assets in a secure manner."/>
    <s v="Errors while handling confidential information, such as by sending, storing, sharing, printing, disposing of information may lead to information breaches."/>
    <s v="Data retention policies are in place, though there is ongoing work to improve handling and retention policies. Old storage systems like AppX are being reviewed for data reduction, but complications such as data ownership and retention conflicts negatively impact the effort."/>
    <s v="Improvement needed in data handling and retention policies."/>
    <s v="Inadequate data retention policies may lead to retention conflicts, excessive data storage, and potential regulatory non-compliance."/>
    <n v="2"/>
    <n v="3"/>
    <s v="Foreseeable, expected"/>
    <n v="3"/>
    <n v="2"/>
    <n v="3"/>
    <n v="3"/>
    <n v="3"/>
    <n v="9"/>
    <n v="9"/>
    <n v="9"/>
    <n v="3"/>
    <s v="Personnel Error"/>
    <n v="9"/>
    <s v="Manage"/>
    <s v="Implement Information Security Data Classification &amp; Handling"/>
    <s v="Establish, manage and validate operational activities for Information Security Data Classification &amp; Handling including:_x000a_ * implement unique Information Security controls based on classification of data including considerations for physical and electronic media, protection/encryption, storage, transmission, messaging, printing, retention, destruction, sharing, etc.;_x000a_ * reporting of Data Classification &amp; Handling performance metrics_x000a_"/>
    <s v="Streamline data handling and retention policies by clearly defining data ownership and resolving retention conflicts, ensuring alignment with enterprise standards."/>
    <s v="Estimated Start - TBD_x000a_Estimated Completion - TBD_x000a_-----_x000a_"/>
    <s v="Personnel Error"/>
    <n v="2"/>
    <n v="4"/>
    <s v="Foreseeable, not expected"/>
    <n v="2"/>
    <n v="2"/>
    <n v="3"/>
    <n v="3"/>
    <n v="3"/>
    <n v="6"/>
    <n v="6"/>
    <s v="Pending"/>
    <s v="TBD"/>
    <m/>
    <s v=""/>
    <n v="9"/>
    <s v="Data Classification &amp; HandlingOperationData"/>
    <m/>
    <m/>
    <m/>
    <m/>
    <m/>
    <m/>
    <m/>
    <m/>
    <s v="x"/>
  </r>
  <r>
    <n v="17"/>
    <x v="0"/>
    <s v="3.5 | Data Protection | Securely Dispose of Data (Protect) (IG1, IG2, IG3)"/>
    <s v="Securely dispose of data as outlined in the enterprise’s data management process. Ensure the disposal process and method are commensurate with the data sensitivity."/>
    <s v="Protect"/>
    <s v="x"/>
    <s v="x"/>
    <s v="x"/>
    <s v="No"/>
    <s v="No"/>
    <s v="No"/>
    <s v="No"/>
    <s v="Yes"/>
    <n v="1"/>
    <x v="4"/>
    <x v="1"/>
    <x v="3"/>
    <s v="Data"/>
    <s v="PR.DS-3 | Data Security  - Assets are formally managed throughout removal, transfers, and disposition_x000a_PR.IP-6 | Information Protection Processes and Procedures  - Data is destroyed according to policy_x000a_PR.PT-2 | Protective Technology  - Removable media is protected and its use restricted according to policy_x000a_"/>
    <s v="End users may mishandle media or devices that contain sensitive information."/>
    <s v="Unauthorized people may access sensitive information that is stored on lost or stolen devices or paper."/>
    <s v="Secure disposal processes are implemented, and secure destruction of media devices by POSRG come with Certificates of Destruction (CoD)."/>
    <s v="No gaps identified."/>
    <s v="Failure to securely dispose of data may result in unauthorized access to sensitive information, leading to potential data breaches."/>
    <n v="2"/>
    <n v="4"/>
    <s v="Foreseeable, not expected"/>
    <n v="2"/>
    <n v="2"/>
    <n v="3"/>
    <n v="3"/>
    <n v="3"/>
    <n v="6"/>
    <n v="6"/>
    <n v="9"/>
    <n v="4"/>
    <s v="Personnel Error"/>
    <n v="6"/>
    <s v="Accept"/>
    <s v=""/>
    <s v=""/>
    <m/>
    <s v=""/>
    <s v="Personnel Error"/>
    <n v="2"/>
    <n v="4"/>
    <s v="Foreseeable, not expected"/>
    <n v="2"/>
    <n v="2"/>
    <n v="3"/>
    <n v="3"/>
    <n v="3"/>
    <n v="6"/>
    <n v="6"/>
    <s v=""/>
    <s v=""/>
    <m/>
    <s v=""/>
    <n v="6"/>
    <s v="Media SecurityOperationData"/>
    <m/>
    <m/>
    <m/>
    <m/>
    <m/>
    <m/>
    <m/>
    <m/>
    <s v="x"/>
  </r>
  <r>
    <n v="18"/>
    <x v="0"/>
    <s v="3.6 | Data Protection | Encrypt Data on End-User Devices (Protect) (IG1, IG2, IG3)"/>
    <s v="Encrypt data on end-user devices containing sensitive data. Example implementations can include: Windows BitLocker®, Apple FileVault®, Linux® dm-crypt."/>
    <s v="Protect"/>
    <s v="x"/>
    <s v="x"/>
    <s v="x"/>
    <s v="No"/>
    <s v="No"/>
    <s v="No"/>
    <s v="No"/>
    <s v="Yes"/>
    <n v="1"/>
    <x v="4"/>
    <x v="1"/>
    <x v="1"/>
    <s v="Devices"/>
    <s v="PR.DS-3 | Data Security  - Assets are formally managed throughout removal, transfers, and disposition_x000a_PR.IP-6 | Information Protection Processes and Procedures  - Data is destroyed according to policy_x000a_PR.PT-2 | Protective Technology  - Removable media is protected and its use restricted according to policy_x000a_"/>
    <s v="End users may mishandle media or devices that contain sensitive information."/>
    <s v="Unauthorized people may access sensitive information that is stored on lost or stolen devices or paper."/>
    <s v="Data on end-user devices is encrypted using BitLocker, FileVault, and other encryption methods."/>
    <s v="No gaps identified."/>
    <s v="Failure to encrypt data on end-user devices may lead to unauthorized access to sensitive information in case of device loss or theft."/>
    <n v="2"/>
    <n v="5"/>
    <s v="Not Foreseeable"/>
    <n v="1"/>
    <n v="2"/>
    <n v="3"/>
    <n v="3"/>
    <n v="3"/>
    <n v="3"/>
    <n v="3"/>
    <n v="9"/>
    <n v="5"/>
    <s v="Hacking System"/>
    <n v="3"/>
    <s v="Accept"/>
    <s v=""/>
    <s v=""/>
    <m/>
    <s v=""/>
    <s v="Hacking System"/>
    <n v="2"/>
    <n v="5"/>
    <s v="Not Foreseeable"/>
    <n v="1"/>
    <n v="2"/>
    <n v="3"/>
    <n v="3"/>
    <n v="3"/>
    <n v="3"/>
    <n v="3"/>
    <s v=""/>
    <s v=""/>
    <m/>
    <s v=""/>
    <n v="3"/>
    <s v="Media SecurityOperationDevices"/>
    <m/>
    <m/>
    <m/>
    <m/>
    <m/>
    <m/>
    <m/>
    <m/>
    <s v="x"/>
  </r>
  <r>
    <n v="19"/>
    <x v="0"/>
    <s v="3.7 | Data Protection | Establish and Maintain a Data Classification Scheme (Identify) (IG2, IG3)"/>
    <s v="Establish and maintain an overall data classification scheme for the enterprise. Enterprises may use labels, such as “Sensitive,” “Confidential,” and “Public,” and classify their data according to those labels. Review and update the classification scheme annually, or when significant enterprise changes occur that could impact this Safeguard."/>
    <s v="Identify"/>
    <m/>
    <s v="x"/>
    <s v="x"/>
    <s v="No"/>
    <s v="No"/>
    <s v="No"/>
    <s v="No"/>
    <s v="No"/>
    <n v="0"/>
    <x v="2"/>
    <x v="0"/>
    <x v="3"/>
    <s v="Data"/>
    <s v="N/A"/>
    <s v="Management may not understand expectations for personnel to handle information and information assets in a secure manner."/>
    <s v="Errors while handling confidential information, such as by sending, storing, sharing, printing, disposing of information may lead to information breaches."/>
    <s v="Data classification standards are in place, with ongoing updates. Data Classification tagging and discovery is implemented in email and file shares using Veronis. Microsoft Purview does the Data Governance for M365, reviewed weekly."/>
    <s v="No gaps identified."/>
    <s v="Failure to establish and maintain a data classification scheme may result in improper handling and protection of sensitive data, leading to potential data breaches."/>
    <n v="2"/>
    <n v="5"/>
    <s v="Not Foreseeable"/>
    <n v="1"/>
    <n v="2"/>
    <n v="3"/>
    <n v="3"/>
    <n v="3"/>
    <n v="3"/>
    <n v="3"/>
    <n v="9"/>
    <n v="5"/>
    <s v="Personnel Error"/>
    <n v="3"/>
    <s v="Accept"/>
    <s v=""/>
    <s v=""/>
    <m/>
    <s v=""/>
    <s v="Personnel Error"/>
    <n v="2"/>
    <n v="5"/>
    <s v="Not Foreseeable"/>
    <n v="1"/>
    <n v="2"/>
    <n v="3"/>
    <n v="3"/>
    <n v="3"/>
    <n v="3"/>
    <n v="3"/>
    <s v=""/>
    <s v=""/>
    <m/>
    <s v=""/>
    <n v="3"/>
    <s v="Data Classification &amp; HandlingGovernanceData"/>
    <m/>
    <m/>
    <m/>
    <m/>
    <m/>
    <m/>
    <m/>
    <m/>
    <m/>
  </r>
  <r>
    <n v="20"/>
    <x v="0"/>
    <s v="3.8 | Data Protection | Document Data Flows (Identify) (IG2, IG3)"/>
    <s v="Document data flows. Data flow documentation includes service provider data flows and should be based on the enterprise’s data management process. Review and update documentation annually, or when significant enterprise changes occur that could impact this Safeguard."/>
    <s v="Identify"/>
    <m/>
    <s v="x"/>
    <s v="x"/>
    <s v="No"/>
    <s v="No"/>
    <s v="No"/>
    <s v="No"/>
    <s v="No"/>
    <n v="0"/>
    <x v="2"/>
    <x v="1"/>
    <x v="3"/>
    <s v="Data"/>
    <s v="ID.AM-5 | Asset Management  - Resources (e.g., hardware, devices, data, and software) are prioritized based on their classification, criticality, and business value _x000a_PR.DS-1 | Data Security  - Data-at-rest is protected_x000a_PR.DS-2 | Data Security  - Data-in-transit is protected_x000a_"/>
    <s v="Personnel may not handle information and information assets in a secure manner."/>
    <s v="Errors while handling confidential information, such as by sending, storing, sharing, printing, disposing of information may lead to information breaches."/>
    <s v="Data flow diagrams are automatically created through governance tools, with some manual documentation. Data Lakes and Factories are well documented. Data stores are logically stored in iServer, with weekly reviews."/>
    <s v="No gaps identified."/>
    <s v="Failure to document data flows may lead to unmanaged data transfers and potential data loss or breaches."/>
    <n v="2"/>
    <n v="5"/>
    <s v="Not Foreseeable"/>
    <n v="1"/>
    <n v="2"/>
    <n v="3"/>
    <n v="3"/>
    <n v="3"/>
    <n v="3"/>
    <n v="3"/>
    <n v="9"/>
    <n v="5"/>
    <s v="Personnel Error"/>
    <n v="3"/>
    <s v="Accept"/>
    <s v=""/>
    <s v=""/>
    <m/>
    <s v=""/>
    <s v="Personnel Error"/>
    <n v="2"/>
    <n v="5"/>
    <s v="Not Foreseeable"/>
    <n v="1"/>
    <n v="2"/>
    <n v="3"/>
    <n v="3"/>
    <n v="3"/>
    <n v="3"/>
    <n v="3"/>
    <s v=""/>
    <s v=""/>
    <m/>
    <s v=""/>
    <n v="3"/>
    <s v="Data Classification &amp; HandlingOperationData"/>
    <m/>
    <m/>
    <m/>
    <m/>
    <m/>
    <m/>
    <m/>
    <m/>
    <m/>
  </r>
  <r>
    <n v="21"/>
    <x v="0"/>
    <s v="3.9 | Data Protection | Encrypt Data on Removable Media (Protect) (IG2, IG3)"/>
    <s v="Encrypt data on removable media."/>
    <s v="Protect"/>
    <m/>
    <s v="x"/>
    <s v="x"/>
    <s v="No"/>
    <s v="No"/>
    <s v="No"/>
    <s v="No"/>
    <s v="Yes"/>
    <n v="1"/>
    <x v="4"/>
    <x v="1"/>
    <x v="4"/>
    <s v="Data"/>
    <s v="PR.DS-3 | Data Security  - Assets are formally managed throughout removal, transfers, and disposition_x000a_PR.IP-6 | Information Protection Processes and Procedures  - Data is destroyed according to policy_x000a_PR.PT-2 | Protective Technology  - Removable media is protected and its use restricted according to policy_x000a_"/>
    <s v="End users may mishandle media or devices that contain sensitive information."/>
    <s v="Unauthorized people may access sensitive information that is stored on lost or stolen devices or paper."/>
    <s v="Data on removable media is encrypted using enterprise-wide policies and tools. USBs are block for users unless has an approved Exception to Policy, and are managed. It is unclear if USBs are automatically encrypted."/>
    <s v="Unclear if USBs are automatically encrypted."/>
    <s v="Lack of automatic encryption on USBs may lead to unauthorized access to sensitive data if the media is lost or stolen."/>
    <n v="2"/>
    <n v="3"/>
    <s v="Foreseeable, expected"/>
    <n v="3"/>
    <n v="2"/>
    <n v="3"/>
    <n v="3"/>
    <n v="3"/>
    <n v="9"/>
    <n v="9"/>
    <n v="9"/>
    <n v="3"/>
    <s v="Personnel Misuse"/>
    <n v="9"/>
    <s v="Manage"/>
    <s v="Implement Information Security Media Security"/>
    <s v="Establish, manage and validate operational activities for Media Security including:_x000a_ * ensure physical and removable equipment are secured prior to reuse or disposal using industry best practice techniques;_x000a_ * ensure physical media is secure when not in use;_x000a_ * reporting of Media Security performance metrics_x000a_"/>
    <s v="Ensure that all USB devices are automatically encrypted by default, updating policies and tools to enforce encryption consistently."/>
    <s v="Estimated Start - TBD_x000a_Estimated Completion - TBD_x000a_-----_x000a_"/>
    <s v="Personnel Misuse"/>
    <n v="2"/>
    <n v="4"/>
    <s v="Foreseeable, not expected"/>
    <n v="2"/>
    <n v="2"/>
    <n v="3"/>
    <n v="3"/>
    <n v="3"/>
    <n v="6"/>
    <n v="6"/>
    <s v="Pending"/>
    <s v="TBD"/>
    <m/>
    <s v=""/>
    <n v="9"/>
    <s v="Media SecurityOperationData"/>
    <m/>
    <m/>
    <m/>
    <m/>
    <m/>
    <m/>
    <m/>
    <m/>
    <s v="x"/>
  </r>
  <r>
    <n v="22"/>
    <x v="0"/>
    <s v="3.10 | Data Protection | Encrypt Sensitive Data in Transit (Protect) (IG2, IG3)"/>
    <s v="Encrypt sensitive data in transit. Example implementations can include: Transport Layer Security (TLS) and Open Secure Shell (OpenSSH)."/>
    <s v="Protect"/>
    <m/>
    <s v="x"/>
    <s v="x"/>
    <s v="Yes"/>
    <s v="Yes"/>
    <s v="Yes"/>
    <s v="Yes"/>
    <s v="Yes"/>
    <n v="5"/>
    <x v="5"/>
    <x v="1"/>
    <x v="2"/>
    <s v="Data"/>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Sensitive data in transit is encrypted using TLS, OpenSSH, and other secure protocols."/>
    <s v="No gaps identified."/>
    <s v="Failure to encrypt sensitive data in transit may result in interception and unauthorized access during data transfer."/>
    <n v="1"/>
    <n v="4"/>
    <s v="Not Foreseeable"/>
    <n v="1"/>
    <n v="2"/>
    <n v="3"/>
    <n v="3"/>
    <n v="3"/>
    <n v="3"/>
    <n v="3"/>
    <n v="9"/>
    <n v="4"/>
    <s v="Hacking Web"/>
    <n v="3"/>
    <s v="Accept"/>
    <s v=""/>
    <s v=""/>
    <m/>
    <s v=""/>
    <s v="Hacking Web"/>
    <n v="1"/>
    <n v="4"/>
    <s v="Not Foreseeable"/>
    <n v="1"/>
    <n v="2"/>
    <n v="3"/>
    <n v="3"/>
    <n v="3"/>
    <n v="3"/>
    <n v="3"/>
    <s v=""/>
    <s v=""/>
    <m/>
    <s v=""/>
    <n v="3"/>
    <s v="Network ArchitectureOperationData"/>
    <m/>
    <m/>
    <m/>
    <s v="x"/>
    <m/>
    <m/>
    <m/>
    <m/>
    <m/>
  </r>
  <r>
    <n v="23"/>
    <x v="0"/>
    <s v="3.11 | Data Protection | Encrypt Sensitive Data at Rest (Protect) (IG2, IG3)"/>
    <s v="Encrypt sensitive data at rest on servers, applications, and databases containing sensitive data. Storage-layer encryption, also known as server-side encryption, meets the minimum requirement of this Safeguard. Additional encryption methods may include application-layer encryption, also known as client-side encryption, where access to the data storage device(s) does not permit access to the plain-text data. "/>
    <s v="Protect"/>
    <m/>
    <s v="x"/>
    <s v="x"/>
    <s v="Yes"/>
    <s v="Yes"/>
    <s v="Yes"/>
    <s v="Yes"/>
    <s v="Yes"/>
    <n v="5"/>
    <x v="4"/>
    <x v="1"/>
    <x v="5"/>
    <s v="Data"/>
    <s v="PR.DS-3 | Data Security  - Assets are formally managed throughout removal, transfers, and disposition_x000a_PR.IP-6 | Information Protection Processes and Procedures  - Data is destroyed according to policy_x000a_PR.PT-2 | Protective Technology  - Removable media is protected and its use restricted according to policy_x000a_"/>
    <s v="End users may mishandle media or devices that contain sensitive information."/>
    <s v="Unauthorized people may access sensitive information that is stored on lost or stolen devices or paper."/>
    <s v="Sensitive data at rest is encrypted at the database level using AES-2048 by Talis. SQL databases are backed up by Azure, and older data warehouses are masked."/>
    <s v="No gaps identified."/>
    <s v="Failure to encrypt sensitive data at rest may lead to unauthorized access and potential data breaches."/>
    <n v="2"/>
    <n v="4"/>
    <s v="Foreseeable, not expected"/>
    <n v="2"/>
    <n v="2"/>
    <n v="3"/>
    <n v="3"/>
    <n v="3"/>
    <n v="6"/>
    <n v="6"/>
    <n v="9"/>
    <n v="4"/>
    <s v="Physical Asset Loss"/>
    <n v="6"/>
    <s v="Accept"/>
    <s v=""/>
    <s v=""/>
    <m/>
    <s v=""/>
    <s v="Physical Asset Loss"/>
    <n v="2"/>
    <n v="4"/>
    <s v="Foreseeable, not expected"/>
    <n v="2"/>
    <n v="2"/>
    <n v="3"/>
    <n v="3"/>
    <n v="3"/>
    <n v="6"/>
    <n v="6"/>
    <s v=""/>
    <s v=""/>
    <m/>
    <s v=""/>
    <n v="6"/>
    <s v="Media SecurityOperationData"/>
    <m/>
    <m/>
    <m/>
    <m/>
    <m/>
    <m/>
    <m/>
    <m/>
    <s v="x"/>
  </r>
  <r>
    <n v="24"/>
    <x v="0"/>
    <s v="3.12 | Data Protection | Segment Data Processing and Storage Based on Sensitivity (Protect) (IG2, IG3)"/>
    <s v="Segment data processing and storage based on the sensitivity of the data. Do not process sensitive data on enterprise assets intended for lower sensitivity data."/>
    <s v="Protect"/>
    <m/>
    <s v="x"/>
    <s v="x"/>
    <s v="Yes"/>
    <s v="Yes"/>
    <s v="Yes"/>
    <s v="Yes"/>
    <s v="Yes"/>
    <n v="5"/>
    <x v="5"/>
    <x v="1"/>
    <x v="0"/>
    <s v="Network"/>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Data processing and storage are segmented based on sensitivity, with PII segregated in a separate schema in the new data warehouse."/>
    <s v="No gaps identified."/>
    <s v="Failure to segment data processing and storage based on sensitivity may lead to unauthorized access and increased risk of data breaches."/>
    <n v="3"/>
    <n v="4"/>
    <s v="Foreseeable, not expected"/>
    <n v="2"/>
    <n v="2"/>
    <n v="3"/>
    <n v="3"/>
    <n v="3"/>
    <n v="6"/>
    <n v="6"/>
    <n v="9"/>
    <n v="4"/>
    <s v="Physical Facility"/>
    <n v="6"/>
    <s v="Accept"/>
    <s v=""/>
    <s v=""/>
    <m/>
    <s v=""/>
    <s v="Physical Facility"/>
    <n v="3"/>
    <n v="4"/>
    <s v="Foreseeable, not expected"/>
    <n v="2"/>
    <n v="2"/>
    <n v="3"/>
    <n v="3"/>
    <n v="3"/>
    <n v="6"/>
    <n v="6"/>
    <s v=""/>
    <s v=""/>
    <m/>
    <s v=""/>
    <n v="6"/>
    <s v="Network ArchitectureOperationNetwork"/>
    <m/>
    <m/>
    <m/>
    <m/>
    <m/>
    <m/>
    <m/>
    <m/>
    <s v="x"/>
  </r>
  <r>
    <n v="25"/>
    <x v="0"/>
    <s v="3.13 | Data Protection | Deploy a Data Loss Prevention Solution (Protect) (IG3)"/>
    <s v="Implement an automated tool, such as a host-based Data Loss Prevention (DLP) tool to identify all sensitive data stored, processed, or transmitted through enterprise assets, including those located onsite or at a remote service provider, and update the enterprise's sensitive data inventory."/>
    <s v="Protect"/>
    <m/>
    <m/>
    <s v="x"/>
    <s v="No"/>
    <s v="No"/>
    <s v="No"/>
    <s v="No"/>
    <s v="No"/>
    <n v="0"/>
    <x v="6"/>
    <x v="1"/>
    <x v="4"/>
    <s v="Data"/>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DLP solutions are implemented using Purview and other tools, with data discovery and tagging managed by Veronis."/>
    <s v="No gaps identified."/>
    <s v="Failure to deploy a DLP solution may lead to undetected data loss incidents and increased risk of data breaches."/>
    <n v="2"/>
    <n v="5"/>
    <s v="Not Foreseeable"/>
    <n v="1"/>
    <n v="2"/>
    <n v="3"/>
    <n v="3"/>
    <n v="3"/>
    <n v="3"/>
    <n v="3"/>
    <n v="9"/>
    <n v="5"/>
    <s v="Personnel Misuse"/>
    <n v="3"/>
    <s v="Accept"/>
    <s v=""/>
    <s v=""/>
    <m/>
    <s v=""/>
    <s v="Personnel Misuse"/>
    <n v="2"/>
    <n v="5"/>
    <s v="Not Foreseeable"/>
    <n v="1"/>
    <n v="2"/>
    <n v="3"/>
    <n v="3"/>
    <n v="3"/>
    <n v="3"/>
    <n v="3"/>
    <s v=""/>
    <s v=""/>
    <m/>
    <s v=""/>
    <n v="3"/>
    <s v="Monitoring &amp; LoggingOperationData"/>
    <m/>
    <m/>
    <m/>
    <m/>
    <m/>
    <m/>
    <m/>
    <m/>
    <m/>
  </r>
  <r>
    <n v="26"/>
    <x v="0"/>
    <s v="3.14 | Data Protection | Log Sensitive Data Access (Detect) (IG3)"/>
    <s v="Log sensitive data access, including modification and disposal. "/>
    <s v="Detect"/>
    <m/>
    <m/>
    <s v="x"/>
    <s v="No"/>
    <s v="No"/>
    <s v="No"/>
    <s v="No"/>
    <s v="Yes"/>
    <n v="1"/>
    <x v="6"/>
    <x v="1"/>
    <x v="4"/>
    <s v="Data"/>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Sensitive data access is logged, including modifications and disposals, through various security and governance tools."/>
    <s v="No gaps identified."/>
    <s v="Failure to log sensitive data access may lead to undetected unauthorized access and potential data breaches."/>
    <n v="2"/>
    <n v="5"/>
    <s v="Not Foreseeable"/>
    <n v="1"/>
    <n v="2"/>
    <n v="3"/>
    <n v="3"/>
    <n v="3"/>
    <n v="3"/>
    <n v="3"/>
    <n v="9"/>
    <n v="5"/>
    <s v="Personnel Misuse"/>
    <n v="3"/>
    <s v="Accept"/>
    <s v=""/>
    <s v=""/>
    <m/>
    <s v=""/>
    <s v="Personnel Misuse"/>
    <n v="2"/>
    <n v="5"/>
    <s v="Not Foreseeable"/>
    <n v="1"/>
    <n v="2"/>
    <n v="3"/>
    <n v="3"/>
    <n v="3"/>
    <n v="3"/>
    <n v="3"/>
    <s v=""/>
    <s v=""/>
    <m/>
    <s v=""/>
    <n v="3"/>
    <s v="Monitoring &amp; LoggingOperationData"/>
    <m/>
    <m/>
    <m/>
    <s v="x"/>
    <m/>
    <m/>
    <m/>
    <m/>
    <m/>
  </r>
  <r>
    <n v="27"/>
    <x v="0"/>
    <s v="4.1 | Secure Configuration of Enterprise Assets and Software | Establish and Maintain a Secure Configuration Process (Protect) (IG1, IG2, IG3)"/>
    <s v="Establish and maintain a secure configuration process for enterprise assets (end-user devices, including portable and mobile, non-computing/IoT devices, and servers) and software (operating systems and applications). Review and update documentation annually, or when significant enterprise changes occur that could impact this Safeguard."/>
    <s v="Protect"/>
    <s v="x"/>
    <s v="x"/>
    <s v="x"/>
    <s v="Yes"/>
    <s v="Yes"/>
    <s v="Yes"/>
    <s v="Yes"/>
    <s v="Yes"/>
    <n v="5"/>
    <x v="7"/>
    <x v="0"/>
    <x v="3"/>
    <s v="Applications"/>
    <s v="N/A"/>
    <s v="Personnel may not configure, maintain, and operate systems in a known-secure manner, such as what might be provided in a standard or benchmark."/>
    <s v="Hackers and malware may take advantage of multiple vulnerabilities on multiple systems to execute multi-stage attacks._x000a__x000a_"/>
    <s v="Secure configuration processes are documented and maintained for all enterprise assets, including end-user devices, servers, and software. Regular reviews and updates are conducted, and configurations are managed through System Center tools and SCCM."/>
    <s v="No gaps identified."/>
    <s v="Failure to establish and maintain a secure configuration process may result in vulnerabilities and misconfigurations, leading to potential security breaches."/>
    <n v="2"/>
    <n v="4"/>
    <s v="Foreseeable, not expected"/>
    <n v="2"/>
    <n v="2"/>
    <n v="2"/>
    <n v="2"/>
    <n v="2"/>
    <n v="4"/>
    <n v="4"/>
    <n v="9"/>
    <n v="4"/>
    <s v="Personnel Error"/>
    <n v="4"/>
    <s v="Accept"/>
    <s v=""/>
    <s v=""/>
    <m/>
    <s v=""/>
    <s v="Personnel Error"/>
    <n v="2"/>
    <n v="4"/>
    <s v="Foreseeable, not expected"/>
    <n v="2"/>
    <n v="2"/>
    <n v="2"/>
    <n v="2"/>
    <n v="2"/>
    <n v="4"/>
    <n v="4"/>
    <s v=""/>
    <s v=""/>
    <m/>
    <s v=""/>
    <n v="4"/>
    <s v="System ManagementGovernanceApplications"/>
    <m/>
    <m/>
    <m/>
    <m/>
    <m/>
    <s v="x"/>
    <m/>
    <m/>
    <m/>
  </r>
  <r>
    <n v="28"/>
    <x v="0"/>
    <s v="4.2 | Secure Configuration of Enterprise Assets and Software | Establish and Maintain a Secure Configuration Process for Network Infrastructure (Protect) (IG1, IG2, IG3)"/>
    <s v="Establish and maintain a secure configuration process for network devices. Review and update documentation annually, or when significant enterprise changes occur that could impact this Safeguard."/>
    <s v="Protect_x000a_Detect"/>
    <s v="x"/>
    <s v="x"/>
    <s v="x"/>
    <s v="Yes"/>
    <s v="Yes"/>
    <s v="Yes"/>
    <s v="Yes"/>
    <s v="Yes"/>
    <n v="5"/>
    <x v="8"/>
    <x v="0"/>
    <x v="1"/>
    <s v="Network"/>
    <s v="N/A"/>
    <s v="Personnel may not configure, maintain, and operate network devices in a known-secure manner, such as what might be provided in a standard or benchmark."/>
    <s v="Hackers and malware may take advantage of multiple vulnerabilities on multiple network devices to execute multi-stage attacks._x000a__x000a_"/>
    <s v="Secure configuration processes for network devices are established and maintained, with annual reviews. Configurations are managed through tools like DNA Center and SolarWinds for compliance testing and backups."/>
    <s v="No gaps identified."/>
    <s v="Failure to establish and maintain a secure configuration process for network infrastructure may result in vulnerabilities and network misconfigurations, leading to potential security breaches."/>
    <n v="2"/>
    <n v="4"/>
    <s v="Foreseeable, not expected"/>
    <n v="2"/>
    <n v="2"/>
    <n v="2"/>
    <n v="2"/>
    <n v="2"/>
    <n v="4"/>
    <n v="4"/>
    <n v="9"/>
    <n v="4"/>
    <s v="Hacking System"/>
    <n v="4"/>
    <s v="Accept"/>
    <s v=""/>
    <s v=""/>
    <m/>
    <s v=""/>
    <s v="Hacking System"/>
    <n v="2"/>
    <n v="4"/>
    <s v="Foreseeable, not expected"/>
    <n v="2"/>
    <n v="2"/>
    <n v="2"/>
    <n v="2"/>
    <n v="2"/>
    <n v="4"/>
    <n v="4"/>
    <s v=""/>
    <s v=""/>
    <m/>
    <s v=""/>
    <n v="4"/>
    <s v="Network Device ManagementGovernanceNetwork"/>
    <m/>
    <m/>
    <m/>
    <m/>
    <m/>
    <m/>
    <m/>
    <s v="x"/>
    <m/>
  </r>
  <r>
    <n v="29"/>
    <x v="0"/>
    <s v="4.3 | Secure Configuration of Enterprise Assets and Software | Configure Automatic Session Locking on Enterprise Assets (Protect) (IG1, IG2, IG3)"/>
    <s v="Configure automatic session locking on enterprise assets after a defined period of inactivity. For general purpose operating systems, the period must not exceed 15 minutes. For mobile end-user devices, the period must not exceed 2 minutes."/>
    <s v="Protect"/>
    <s v="x"/>
    <s v="x"/>
    <s v="x"/>
    <s v="No"/>
    <s v="No"/>
    <s v="No"/>
    <s v="No"/>
    <s v="Yes"/>
    <n v="1"/>
    <x v="7"/>
    <x v="1"/>
    <x v="4"/>
    <s v="User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Automatic session locking is configured with timeouts set to 5 minutes for routers and non-enterprise assets, 10 minutes for Roam Environment, and 30 minutes for laptops."/>
    <s v="Session locking on laptops exceeds the recommended period of inactivity."/>
    <s v="Exceeding recommended session locking periods may increase the risk of unauthorized access to enterprise assets."/>
    <n v="2"/>
    <n v="3"/>
    <s v="Foreseeable, expected"/>
    <n v="3"/>
    <n v="2"/>
    <n v="2"/>
    <n v="2"/>
    <n v="2"/>
    <n v="6"/>
    <n v="6"/>
    <n v="9"/>
    <n v="3"/>
    <s v="Personnel Misuse"/>
    <n v="6"/>
    <s v="Accept"/>
    <s v=""/>
    <s v=""/>
    <m/>
    <s v=""/>
    <s v="Personnel Misuse"/>
    <n v="2"/>
    <n v="3"/>
    <s v="Foreseeable, expected"/>
    <n v="3"/>
    <n v="2"/>
    <n v="2"/>
    <n v="2"/>
    <n v="2"/>
    <n v="6"/>
    <n v="6"/>
    <s v=""/>
    <s v=""/>
    <m/>
    <s v=""/>
    <n v="6"/>
    <s v="System ManagementOperationUsers"/>
    <m/>
    <m/>
    <m/>
    <s v="x"/>
    <m/>
    <m/>
    <m/>
    <m/>
    <m/>
  </r>
  <r>
    <n v="30"/>
    <x v="0"/>
    <s v="4.4 | Secure Configuration of Enterprise Assets and Software | Implement and Manage a Firewall on Servers (Protect) (IG1, IG2, IG3)"/>
    <s v="Implement and manage a firewall on servers, where supported. Example implementations include a virtual firewall, operating system firewall, or a third-party firewall agent."/>
    <s v="Protect"/>
    <s v="x"/>
    <s v="x"/>
    <s v="x"/>
    <s v="Yes"/>
    <s v="Yes"/>
    <s v="Yes"/>
    <s v="Yes"/>
    <s v="Yes"/>
    <n v="5"/>
    <x v="7"/>
    <x v="1"/>
    <x v="0"/>
    <s v="Device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Firewalls are implemented and managed on servers using CrowdStrike. Configurations are reviewed regularly to ensure compliance."/>
    <s v="No gaps identified."/>
    <s v="Failure to implement and manage firewalls on servers may result in unauthorized access and potential security breaches."/>
    <n v="3"/>
    <n v="4"/>
    <s v="Foreseeable, not expected"/>
    <n v="2"/>
    <n v="2"/>
    <n v="2"/>
    <n v="2"/>
    <n v="2"/>
    <n v="4"/>
    <n v="4"/>
    <n v="9"/>
    <n v="4"/>
    <s v="Physical Facility"/>
    <n v="4"/>
    <s v="Accept"/>
    <s v=""/>
    <s v=""/>
    <m/>
    <s v=""/>
    <s v="Physical Facility"/>
    <n v="3"/>
    <n v="4"/>
    <s v="Foreseeable, not expected"/>
    <n v="2"/>
    <n v="2"/>
    <n v="2"/>
    <n v="2"/>
    <n v="2"/>
    <n v="4"/>
    <n v="4"/>
    <s v=""/>
    <s v=""/>
    <m/>
    <s v=""/>
    <n v="4"/>
    <s v="System ManagementOperationDevices"/>
    <m/>
    <m/>
    <m/>
    <s v="x"/>
    <m/>
    <m/>
    <m/>
    <m/>
    <m/>
  </r>
  <r>
    <n v="31"/>
    <x v="0"/>
    <s v="4.5 | Secure Configuration of Enterprise Assets and Software | Implement and Manage a Firewall on End-User Devices (Protect) (IG1, IG2, IG3)"/>
    <s v="Implement and manage a host-based firewall or port-filtering tool on end-user devices, with a default-deny rule that drops all traffic except those services and ports that are explicitly allowed."/>
    <s v="Protect"/>
    <s v="x"/>
    <s v="x"/>
    <s v="x"/>
    <s v="Yes"/>
    <s v="Yes"/>
    <s v="Yes"/>
    <s v="Yes"/>
    <s v="Yes"/>
    <n v="5"/>
    <x v="7"/>
    <x v="1"/>
    <x v="0"/>
    <s v="Device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Host-based firewalls are managed on end-user devices through CrowdStrike, with a default-deny rule in place."/>
    <s v="No gaps identified."/>
    <s v="Failure to implement and manage firewalls on end-user devices may result in unauthorized access and potential security breaches."/>
    <n v="3"/>
    <n v="4"/>
    <s v="Foreseeable, not expected"/>
    <n v="2"/>
    <n v="2"/>
    <n v="2"/>
    <n v="2"/>
    <n v="2"/>
    <n v="4"/>
    <n v="4"/>
    <n v="9"/>
    <n v="4"/>
    <s v="Physical Facility"/>
    <n v="4"/>
    <s v="Accept"/>
    <s v=""/>
    <s v=""/>
    <m/>
    <s v=""/>
    <s v="Physical Facility"/>
    <n v="3"/>
    <n v="4"/>
    <s v="Foreseeable, not expected"/>
    <n v="2"/>
    <n v="2"/>
    <n v="2"/>
    <n v="2"/>
    <n v="2"/>
    <n v="4"/>
    <n v="4"/>
    <s v=""/>
    <s v=""/>
    <m/>
    <s v=""/>
    <n v="4"/>
    <s v="System ManagementOperationDevices"/>
    <m/>
    <m/>
    <m/>
    <m/>
    <m/>
    <s v="x"/>
    <m/>
    <m/>
    <m/>
  </r>
  <r>
    <n v="32"/>
    <x v="0"/>
    <s v="4.6 | Secure Configuration of Enterprise Assets and Software | Securely Manage Enterprise Assets and Software (Protect) (IG1, IG2, IG3)"/>
    <s v="Securely manage enterprise assets and software. Example implementations include managing configuration through version-controlled-infrastructure-as-code and accessing administrative interfaces over secure network protocols, such as Secure Shell (SSH) and Hypertext Transfer Protocol Secure (HTTPS). Do not use insecure management protocols, such as Telnet (Teletype Network) and HTTP, unless operationally essential."/>
    <s v="Protect"/>
    <s v="x"/>
    <s v="x"/>
    <s v="x"/>
    <s v="Yes"/>
    <s v="Yes"/>
    <s v="Yes"/>
    <s v="Yes"/>
    <s v="No"/>
    <n v="4"/>
    <x v="7"/>
    <x v="1"/>
    <x v="1"/>
    <s v="Network"/>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Enterprise assets and software are securely managed using ITAM, SCCM, Intune, SolarWinds, and JAMF, with administrative interfaces accessed over secure protocols like SSH and HTTPS. "/>
    <s v="No gaps identified."/>
    <s v="Failure to securely manage enterprise assets and software may lead to unauthorized access and potential security breaches."/>
    <n v="2"/>
    <n v="4"/>
    <s v="Foreseeable, not expected"/>
    <n v="2"/>
    <n v="2"/>
    <n v="2"/>
    <n v="2"/>
    <n v="2"/>
    <n v="4"/>
    <n v="4"/>
    <n v="9"/>
    <n v="4"/>
    <s v="Hacking System"/>
    <n v="4"/>
    <s v="Accept"/>
    <s v=""/>
    <s v=""/>
    <m/>
    <s v=""/>
    <s v="Hacking System"/>
    <n v="2"/>
    <n v="4"/>
    <s v="Foreseeable, not expected"/>
    <n v="2"/>
    <n v="2"/>
    <n v="2"/>
    <n v="2"/>
    <n v="2"/>
    <n v="4"/>
    <n v="4"/>
    <s v=""/>
    <s v=""/>
    <m/>
    <s v=""/>
    <n v="4"/>
    <s v="System ManagementOperationNetwork"/>
    <m/>
    <m/>
    <m/>
    <m/>
    <m/>
    <s v="x"/>
    <m/>
    <m/>
    <m/>
  </r>
  <r>
    <n v="33"/>
    <x v="0"/>
    <s v="4.7 | Secure Configuration of Enterprise Assets and Software | Manage Default Accounts on Enterprise Assets and Software (Protect) (IG1, IG2, IG3)"/>
    <s v="Manage default accounts on enterprise assets and software, such as root, administrator, and other pre-configured vendor accounts. Example implementations can include: disabling default accounts or making them unusable."/>
    <s v="Protect"/>
    <s v="x"/>
    <s v="x"/>
    <s v="x"/>
    <s v="Yes"/>
    <s v="Yes"/>
    <s v="Yes"/>
    <s v="Yes"/>
    <s v="Yes"/>
    <n v="5"/>
    <x v="9"/>
    <x v="1"/>
    <x v="1"/>
    <s v="Users"/>
    <s v="N/A"/>
    <s v="Unauthorized parties may access systems and applications using an authorized person's credentials."/>
    <s v="Unauthorized people may access systems and applications without detection."/>
    <s v="Default accounts on enterprise assets and software are managed by disabling or making them unusable."/>
    <s v="No gaps identified."/>
    <s v="Failure to manage default accounts on enterprise assets and software may lead to unauthorized access and potential security breaches."/>
    <n v="2"/>
    <n v="4"/>
    <s v="Foreseeable, not expected"/>
    <n v="2"/>
    <n v="2"/>
    <n v="2"/>
    <n v="2"/>
    <n v="2"/>
    <n v="4"/>
    <n v="4"/>
    <n v="9"/>
    <n v="4"/>
    <s v="Hacking System"/>
    <n v="4"/>
    <s v="Accept"/>
    <s v=""/>
    <s v=""/>
    <m/>
    <s v=""/>
    <s v="Hacking System"/>
    <n v="2"/>
    <n v="4"/>
    <s v="Foreseeable, not expected"/>
    <n v="2"/>
    <n v="2"/>
    <n v="2"/>
    <n v="2"/>
    <n v="2"/>
    <n v="4"/>
    <n v="4"/>
    <s v=""/>
    <s v=""/>
    <m/>
    <s v=""/>
    <n v="4"/>
    <s v="Credential ManagementOperationUsers"/>
    <m/>
    <m/>
    <m/>
    <s v="x"/>
    <m/>
    <m/>
    <m/>
    <m/>
    <m/>
  </r>
  <r>
    <n v="34"/>
    <x v="0"/>
    <s v="4.8 | Secure Configuration of Enterprise Assets and Software | Uninstall or Disable Unnecessary Services on Enterprise Assets and Software (Protect) (IG2, IG3)"/>
    <s v="Uninstall or disable unnecessary services on enterprise assets and software, such as an unused file sharing service, web application module, or service function."/>
    <s v="Protect"/>
    <m/>
    <s v="x"/>
    <s v="x"/>
    <s v="Yes"/>
    <s v="Yes"/>
    <s v="Yes"/>
    <s v="Yes"/>
    <s v="Yes"/>
    <n v="5"/>
    <x v="7"/>
    <x v="1"/>
    <x v="0"/>
    <s v="Device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Unnecessary services on enterprise assets and software are uninstalled or disabled to minimize attack surfaces. Insecure protocols like Telnet and HTTP are avoided."/>
    <s v="No gaps identified."/>
    <s v="Failure to uninstall or disable unnecessary services may result in increased attack surfaces and potential security breaches."/>
    <n v="3"/>
    <n v="4"/>
    <s v="Foreseeable, not expected"/>
    <n v="2"/>
    <n v="2"/>
    <n v="2"/>
    <n v="2"/>
    <n v="2"/>
    <n v="4"/>
    <n v="4"/>
    <n v="9"/>
    <n v="4"/>
    <s v="Physical Facility"/>
    <n v="4"/>
    <s v="Accept"/>
    <s v=""/>
    <s v=""/>
    <m/>
    <s v=""/>
    <s v="Physical Facility"/>
    <n v="3"/>
    <n v="4"/>
    <s v="Foreseeable, not expected"/>
    <n v="2"/>
    <n v="2"/>
    <n v="2"/>
    <n v="2"/>
    <n v="2"/>
    <n v="4"/>
    <n v="4"/>
    <s v=""/>
    <s v=""/>
    <m/>
    <s v=""/>
    <n v="4"/>
    <s v="System ManagementOperationDevices"/>
    <m/>
    <m/>
    <m/>
    <m/>
    <m/>
    <s v="x"/>
    <m/>
    <m/>
    <m/>
  </r>
  <r>
    <n v="35"/>
    <x v="0"/>
    <s v="4.9 | Secure Configuration of Enterprise Assets and Software | Configure Trusted DNS Servers on Enterprise Assets (Protect) (IG2, IG3)"/>
    <s v="Configure trusted DNS servers on enterprise assets. Example implementations include: configuring assets to use enterprise-controlled DNS servers and/or reputable externally accessible DNS servers. "/>
    <s v="Protect"/>
    <m/>
    <s v="x"/>
    <s v="x"/>
    <s v="No"/>
    <s v="Yes"/>
    <s v="No"/>
    <s v="No"/>
    <s v="Yes"/>
    <n v="2"/>
    <x v="7"/>
    <x v="1"/>
    <x v="0"/>
    <s v="Device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Trusted DNS servers are configured on enterprise assets, using Azure DNS for public and Microsoft DNS on Domain controllers for internal use."/>
    <s v="No gaps identified."/>
    <s v="Failure to configure trusted DNS servers may result in DNS spoofing attacks and unauthorized access."/>
    <n v="3"/>
    <n v="4"/>
    <s v="Foreseeable, not expected"/>
    <n v="2"/>
    <n v="2"/>
    <n v="2"/>
    <n v="2"/>
    <n v="2"/>
    <n v="4"/>
    <n v="4"/>
    <n v="9"/>
    <n v="4"/>
    <s v="Physical Facility"/>
    <n v="4"/>
    <s v="Accept"/>
    <s v=""/>
    <s v=""/>
    <m/>
    <s v=""/>
    <s v="Physical Facility"/>
    <n v="3"/>
    <n v="4"/>
    <s v="Foreseeable, not expected"/>
    <n v="2"/>
    <n v="2"/>
    <n v="2"/>
    <n v="2"/>
    <n v="2"/>
    <n v="4"/>
    <n v="4"/>
    <s v=""/>
    <s v=""/>
    <m/>
    <s v=""/>
    <n v="4"/>
    <s v="System ManagementOperationDevices"/>
    <s v="x"/>
    <m/>
    <m/>
    <m/>
    <m/>
    <s v="x"/>
    <m/>
    <m/>
    <m/>
  </r>
  <r>
    <n v="36"/>
    <x v="0"/>
    <s v="4.10 | Secure Configuration of Enterprise Assets and Software | Enforce Automatic Device Lockout on Portable End-User Devices (Respond) (IG2, IG3)"/>
    <s v="Enforce automatic device lockout following a predetermined threshold of local failed authentication attempts on portable end-user devices, where supported. For laptops, do not allow more than 20 failed authentication attempts; for tablets and smartphones, no more than 10 failed authentication attempts. Example implementations include Microsoft® Intune Device Lock and Apple® Configuration Profile maxFailedAttempts."/>
    <s v="Protect"/>
    <m/>
    <s v="x"/>
    <s v="x"/>
    <s v="Yes"/>
    <s v="Yes"/>
    <s v="Yes"/>
    <s v="Yes"/>
    <s v="Yes"/>
    <n v="5"/>
    <x v="3"/>
    <x v="1"/>
    <x v="1"/>
    <s v="Devices"/>
    <s v="PR.AC-1 | Access Control  - Identities and credentials are managed for authorized devices and users_x000a_PR.AC-3 | Access Control  - Remote access is managed_x000a_PR.AC-4 | Access Control  - Access permissions are managed, incorporating the principles of least privilege and separation of duties_x000a_PR.PT-3 | Protective Technology  - Access to systems and assets is controlled, incorporating the principle of least functionality_x000a_"/>
    <s v="Access privileges may be unmonitored and abused by personnel, disgruntled employees, dismissed employees, or attackers."/>
    <s v="Systems and data may be compromised through unauthorized use of valid access accounts."/>
    <s v="Automatic device lockout is enforced on portable end-user devices using Intune for laptops and Apple Configuration Profiles for tablets and smartphones."/>
    <s v="No gaps identified."/>
    <s v="Failure to enforce automatic device lockout may lead to unauthorized access to enterprise data on lost or stolen devices."/>
    <n v="2"/>
    <n v="4"/>
    <s v="Foreseeable, not expected"/>
    <n v="2"/>
    <n v="2"/>
    <n v="2"/>
    <n v="2"/>
    <n v="2"/>
    <n v="4"/>
    <n v="4"/>
    <n v="9"/>
    <n v="4"/>
    <s v="Hacking System"/>
    <n v="4"/>
    <s v="Accept"/>
    <s v=""/>
    <s v=""/>
    <m/>
    <s v=""/>
    <s v="Hacking System"/>
    <n v="2"/>
    <n v="4"/>
    <s v="Foreseeable, not expected"/>
    <n v="2"/>
    <n v="2"/>
    <n v="2"/>
    <n v="2"/>
    <n v="2"/>
    <n v="4"/>
    <n v="4"/>
    <s v=""/>
    <s v=""/>
    <m/>
    <s v=""/>
    <n v="4"/>
    <s v="Access ControlOperationDevices"/>
    <m/>
    <m/>
    <m/>
    <m/>
    <m/>
    <s v="x"/>
    <m/>
    <m/>
    <m/>
  </r>
  <r>
    <n v="37"/>
    <x v="0"/>
    <s v="4.11 | Secure Configuration of Enterprise Assets and Software | Enforce Remote Wipe Capability on Portable End-User Devices (Protect) (IG2, IG3)"/>
    <s v="Remotely wipe enterprise data from enterprise-owned portable end-user devices when deemed appropriate such as lost or stolen devices, or when an individual no longer supports the enterprise."/>
    <s v="Protect"/>
    <m/>
    <s v="x"/>
    <s v="x"/>
    <s v="No"/>
    <s v="No"/>
    <s v="No"/>
    <s v="No"/>
    <s v="No"/>
    <n v="0"/>
    <x v="4"/>
    <x v="1"/>
    <x v="1"/>
    <s v="Devices"/>
    <s v="PR.DS-3 | Data Security  - Assets are formally managed throughout removal, transfers, and disposition_x000a_PR.IP-6 | Information Protection Processes and Procedures  - Data is destroyed according to policy_x000a_PR.PT-2 | Protective Technology  - Removable media is protected and its use restricted according to policy_x000a_"/>
    <s v="End users may mishandle media or devices that contain sensitive information."/>
    <s v="Unauthorized people may access sensitive information that is stored on lost or stolen devices or paper."/>
    <s v="Remote wipe capability is enforced using CrowdStrike and Intune for mobile devices."/>
    <s v="No gaps identified."/>
    <s v="Failure to enforce remote wipe capability may result in unauthorized access to enterprise data on lost or stolen devices."/>
    <n v="2"/>
    <n v="4"/>
    <s v="Foreseeable, not expected"/>
    <n v="2"/>
    <n v="2"/>
    <n v="2"/>
    <n v="2"/>
    <n v="2"/>
    <n v="4"/>
    <n v="4"/>
    <n v="9"/>
    <n v="4"/>
    <s v="Hacking System"/>
    <n v="4"/>
    <s v="Accept"/>
    <s v=""/>
    <s v=""/>
    <m/>
    <s v=""/>
    <s v="Hacking System"/>
    <n v="2"/>
    <n v="4"/>
    <s v="Foreseeable, not expected"/>
    <n v="2"/>
    <n v="2"/>
    <n v="2"/>
    <n v="2"/>
    <n v="2"/>
    <n v="4"/>
    <n v="4"/>
    <s v=""/>
    <s v=""/>
    <m/>
    <s v=""/>
    <n v="4"/>
    <s v="Media SecurityOperationDevices"/>
    <m/>
    <m/>
    <m/>
    <m/>
    <m/>
    <m/>
    <m/>
    <m/>
    <m/>
  </r>
  <r>
    <n v="38"/>
    <x v="0"/>
    <s v="4.12 | Secure Configuration of Enterprise Assets and Software | Separate Enterprise Workspaces on Mobile End-User Devices (Protect) (IG3)"/>
    <s v="Ensure separate enterprise workspaces are used on mobile end-user devices, where supported. Example implementations include using an Apple® Configuration Profile or Android™ Work Profile to separate enterprise applications and data from personal applications and data."/>
    <s v="Protect"/>
    <m/>
    <m/>
    <s v="x"/>
    <s v="No"/>
    <s v="No"/>
    <s v="No"/>
    <s v="No"/>
    <s v="No"/>
    <n v="0"/>
    <x v="7"/>
    <x v="1"/>
    <x v="1"/>
    <s v="Device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Separate enterprise workspaces are used on mobile end-user devices with Android Work Profiles and Apple Configuration Profiles."/>
    <s v="No gaps identified."/>
    <s v="Failure to separate enterprise workspaces on mobile end-user devices may result in unauthorized access to enterprise data."/>
    <n v="2"/>
    <n v="4"/>
    <s v="Foreseeable, not expected"/>
    <n v="2"/>
    <n v="2"/>
    <n v="2"/>
    <n v="2"/>
    <n v="2"/>
    <n v="4"/>
    <n v="4"/>
    <n v="9"/>
    <n v="4"/>
    <s v="Hacking System"/>
    <n v="4"/>
    <s v="Accept"/>
    <s v=""/>
    <s v=""/>
    <m/>
    <s v=""/>
    <s v="Hacking System"/>
    <n v="2"/>
    <n v="4"/>
    <s v="Foreseeable, not expected"/>
    <n v="2"/>
    <n v="2"/>
    <n v="2"/>
    <n v="2"/>
    <n v="2"/>
    <n v="4"/>
    <n v="4"/>
    <s v=""/>
    <s v=""/>
    <m/>
    <s v=""/>
    <n v="4"/>
    <s v="System ManagementOperationDevices"/>
    <m/>
    <m/>
    <m/>
    <m/>
    <m/>
    <m/>
    <m/>
    <m/>
    <m/>
  </r>
  <r>
    <n v="39"/>
    <x v="0"/>
    <s v="5.1 | Account Management | Establish and Maintain an Inventory of Accounts (Identify) (IG1, IG2, IG3)"/>
    <s v="Establish and maintain an inventory of all accounts managed in the enterprise. The inventory must include both user and administrator accounts. The inventory, at a minimum, should contain the person’s name, username, start/stop dates, and department. Validate that all active accounts are authorized, on a recurring schedule at a minimum quarterly, or more frequently."/>
    <s v="Protect_x000a_Detect_x000a_Respond"/>
    <s v="x"/>
    <s v="x"/>
    <s v="x"/>
    <s v="Yes"/>
    <s v="Yes"/>
    <s v="Yes"/>
    <s v="Yes"/>
    <s v="Yes"/>
    <n v="5"/>
    <x v="9"/>
    <x v="0"/>
    <x v="4"/>
    <s v="Users"/>
    <s v="N/A"/>
    <s v="Personnel may be unaware of risks that can be caused by improperly handling login credentials."/>
    <s v="Unauthorized people may access systems and applications without detection."/>
    <s v="An inventory of all accounts, including user and administrator accounts, is maintained. The inventory includes details such as the person’s name, username, start/stop dates, and department. Active accounts are validated quarterly. SailPoint is used for access reviews, and Identity Now is being integrated for comprehensive account management."/>
    <s v="No gaps identified."/>
    <s v="Failure to maintain an inventory of accounts may lead to unauthorized acces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Credential ManagementGovernanceUsers"/>
    <m/>
    <m/>
    <m/>
    <m/>
    <s v="x"/>
    <m/>
    <s v="x"/>
    <s v="x"/>
    <m/>
  </r>
  <r>
    <n v="40"/>
    <x v="0"/>
    <s v="5.2 | Account Management | Use Unique Passwords (Protect) (IG1, IG2, IG3)"/>
    <s v="Use unique passwords for all enterprise assets. Best practice implementation includes, at a minimum, an 8-character password for accounts using MFA and a 14-character password for accounts not using MFA. "/>
    <s v="Protect_x000a_Detect_x000a_Respond"/>
    <s v="x"/>
    <s v="x"/>
    <s v="x"/>
    <s v="Yes"/>
    <s v="Yes"/>
    <s v="Yes"/>
    <s v="Yes"/>
    <s v="Yes"/>
    <n v="5"/>
    <x v="9"/>
    <x v="1"/>
    <x v="4"/>
    <s v="Users"/>
    <s v="N/A"/>
    <s v="Unauthorized parties may access systems and applications using an authorized person's credentials."/>
    <s v="Unauthorized people may access systems and applications without detection."/>
    <s v="Unique passwords for accounts are automatically required upon setup. "/>
    <s v="No gaps identified."/>
    <s v="Failure to use unique passwords may lead to unauthorized acces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Credential ManagementOperationUsers"/>
    <m/>
    <m/>
    <m/>
    <m/>
    <s v="x"/>
    <m/>
    <s v="x"/>
    <s v="x"/>
    <m/>
  </r>
  <r>
    <n v="41"/>
    <x v="0"/>
    <s v="5.3 | Account Management | Disable Dormant Accounts (Respond) (IG1, IG2, IG3)"/>
    <s v="Delete or disable any dormant accounts after a period of 45 days of inactivity, where supported."/>
    <s v="Protect_x000a_Detect_x000a_Respond"/>
    <s v="x"/>
    <s v="x"/>
    <s v="x"/>
    <s v="Yes"/>
    <s v="Yes"/>
    <s v="Yes"/>
    <s v="Yes"/>
    <s v="Yes"/>
    <n v="5"/>
    <x v="9"/>
    <x v="1"/>
    <x v="4"/>
    <s v="Users"/>
    <s v="N/A"/>
    <s v="Unauthorized parties may access systems and applications using an authorized person's credentials."/>
    <s v="Unauthorized people may access systems and applications without detection."/>
    <s v="Dormant accounts are purged after 6 months. Quarterly reviews ensure compliance with this policy."/>
    <s v="Dormant accounts are disabled after a longer period than recommended."/>
    <s v="Longer periods for disabling dormant accounts may increase the risk of unauthorized access."/>
    <n v="2"/>
    <n v="3"/>
    <s v="Foreseeable, expected"/>
    <n v="3"/>
    <n v="2"/>
    <n v="2"/>
    <n v="2"/>
    <n v="2"/>
    <n v="6"/>
    <n v="6"/>
    <n v="9"/>
    <n v="3"/>
    <s v="Personnel Misuse"/>
    <n v="6"/>
    <s v="Accept"/>
    <s v=""/>
    <s v=""/>
    <m/>
    <s v=""/>
    <s v="Personnel Misuse"/>
    <n v="2"/>
    <n v="3"/>
    <s v="Foreseeable, expected"/>
    <n v="3"/>
    <n v="2"/>
    <n v="2"/>
    <n v="2"/>
    <n v="2"/>
    <n v="6"/>
    <n v="6"/>
    <s v=""/>
    <s v=""/>
    <m/>
    <s v=""/>
    <n v="6"/>
    <s v="Credential ManagementOperationUsers"/>
    <m/>
    <m/>
    <m/>
    <m/>
    <s v="x"/>
    <m/>
    <s v="x"/>
    <s v="x"/>
    <m/>
  </r>
  <r>
    <n v="42"/>
    <x v="0"/>
    <s v="5.4 | Account Management | Restrict Administrator Privileges to Dedicated Administrator Accounts (Protect) (IG1, IG2, IG3)"/>
    <s v="Restrict administrator privileges to dedicated administrator accounts on enterprise assets. Conduct general computing activities, such as internet browsing, email, and productivity suite use, from the user’s primary, non-privileged account."/>
    <s v="Protect_x000a_Detect_x000a_Respond"/>
    <s v="x"/>
    <s v="x"/>
    <s v="x"/>
    <s v="Yes"/>
    <s v="Yes"/>
    <s v="Yes"/>
    <s v="Yes"/>
    <s v="Yes"/>
    <n v="5"/>
    <x v="3"/>
    <x v="1"/>
    <x v="4"/>
    <s v="Users"/>
    <s v="PR.AC-1 | Access Control  - Identities and credentials are managed for authorized devices and users_x000a_PR.AC-3 | Access Control  - Remote access is managed_x000a_PR.AC-4 | Access Control  - Access permissions are managed, incorporating the principles of least privilege and separation of duties_x000a_PR.PT-3 | Protective Technology  - Access to systems and assets is controlled, incorporating the principle of least functionality_x000a_"/>
    <s v="Access privileges may be unmonitored and abused by personnel, disgruntled employees, dismissed employees, or attackers."/>
    <s v="Systems and data may be compromised through unauthorized use of valid access accounts."/>
    <s v="Delinea is used to store Privileged Accounts, with passwords rotated every time credentials are checked in or at most every 24 hours if not used."/>
    <s v="No gaps identified."/>
    <s v="Failure to restrict administrator privileges may lead to misuse of administrative privilege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Access ControlOperationUsers"/>
    <m/>
    <m/>
    <m/>
    <m/>
    <s v="x"/>
    <m/>
    <s v="x"/>
    <s v="x"/>
    <m/>
  </r>
  <r>
    <n v="43"/>
    <x v="0"/>
    <s v="5.5 | Account Management | Establish and Maintain an Inventory of Service Accounts (Identify) (IG2, IG3)"/>
    <s v="Establish and maintain an inventory of service accounts. The inventory, at a minimum, must contain department owner, review date, and purpose. Perform service account reviews to validate that all active accounts are authorized, on a recurring schedule at a minimum quarterly, or more frequently."/>
    <s v="Protect_x000a_Detect_x000a_Respond"/>
    <m/>
    <s v="x"/>
    <s v="x"/>
    <s v="Yes"/>
    <s v="Yes"/>
    <s v="Yes"/>
    <s v="Yes"/>
    <s v="Yes"/>
    <n v="5"/>
    <x v="9"/>
    <x v="0"/>
    <x v="1"/>
    <s v="Users"/>
    <s v="N/A"/>
    <s v="Personnel may be unaware of risks that can be caused by improperly handling login credentials."/>
    <s v="Unauthorized people may access systems and applications without detection."/>
    <s v="Service accounts are managed through Delinea, Entra, and SailPoint, and reviewed quarterly."/>
    <s v="No gaps identified."/>
    <s v="Failure to maintain an inventory of service accounts may lead to unauthorized access and potential security breaches."/>
    <n v="2"/>
    <n v="4"/>
    <s v="Foreseeable, not expected"/>
    <n v="2"/>
    <n v="2"/>
    <n v="2"/>
    <n v="2"/>
    <n v="2"/>
    <n v="4"/>
    <n v="4"/>
    <n v="9"/>
    <n v="4"/>
    <s v="Hacking System"/>
    <n v="4"/>
    <s v="Accept"/>
    <s v=""/>
    <s v=""/>
    <m/>
    <s v=""/>
    <s v="Hacking System"/>
    <n v="2"/>
    <n v="4"/>
    <s v="Foreseeable, not expected"/>
    <n v="2"/>
    <n v="2"/>
    <n v="2"/>
    <n v="2"/>
    <n v="2"/>
    <n v="4"/>
    <n v="4"/>
    <s v=""/>
    <s v=""/>
    <m/>
    <s v=""/>
    <n v="4"/>
    <s v="Credential ManagementGovernanceUsers"/>
    <m/>
    <m/>
    <m/>
    <m/>
    <s v="x"/>
    <m/>
    <s v="x"/>
    <s v="x"/>
    <m/>
  </r>
  <r>
    <n v="44"/>
    <x v="0"/>
    <s v="5.6 | Account Management | Centralize Account Management (Protect) (IG2, IG3)"/>
    <s v="Centralize account management through a directory or identity service."/>
    <s v="Protect"/>
    <m/>
    <s v="x"/>
    <s v="x"/>
    <s v="No"/>
    <s v="No"/>
    <s v="No"/>
    <s v="No"/>
    <s v="No"/>
    <n v="0"/>
    <x v="9"/>
    <x v="1"/>
    <x v="4"/>
    <s v="Users"/>
    <s v="N/A"/>
    <s v="Unauthorized parties may access systems and applications using an authorized person's credentials."/>
    <s v="Unauthorized people may access systems and applications without detection."/>
    <s v="Account management is centralized through Entra and SailPoint, ensuring a streamlined and secure process for managing accounts."/>
    <s v="No gaps identified."/>
    <s v="Failure to centralize account management may lead to inconsistencie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Credential ManagementOperationUsers"/>
    <m/>
    <m/>
    <m/>
    <m/>
    <m/>
    <m/>
    <m/>
    <m/>
    <m/>
  </r>
  <r>
    <n v="45"/>
    <x v="0"/>
    <s v="6.1 | Access Control Management | Establish an Access Granting Process (Protect) (IG1, IG2, IG3)"/>
    <s v="Establish and follow a process, preferably automated, for granting access to enterprise assets upon new hire, rights grant, or role change of a user."/>
    <s v="Protect_x000a_Detect_x000a_Respond"/>
    <s v="x"/>
    <s v="x"/>
    <s v="x"/>
    <s v="Yes"/>
    <s v="Yes"/>
    <s v="Yes"/>
    <s v="Yes"/>
    <s v="Yes"/>
    <n v="5"/>
    <x v="3"/>
    <x v="0"/>
    <x v="4"/>
    <s v="Users"/>
    <s v="N/A"/>
    <s v="Personnel may not understand how provision of access rights and privileges can create risk of harm to systems and data."/>
    <s v="Attackers may exploit multiple vectors of attack, such as unauthorized access or unauthorized escalation, and may not be detected if standards for use of access privileges are not established, enforced, and monitored."/>
    <s v="An access granting process is established and automated through ServiceDesk and DayForce. New hires, rights grants, and role changes follow a standardized process."/>
    <s v="No gaps identified."/>
    <s v="Failure to establish an access granting process may lead to unauthorized acces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Access ControlGovernanceUsers"/>
    <m/>
    <m/>
    <m/>
    <m/>
    <s v="x"/>
    <s v="x"/>
    <s v="x"/>
    <s v="x"/>
    <m/>
  </r>
  <r>
    <n v="46"/>
    <x v="0"/>
    <s v="6.2 | Access Control Management | Establish an Access Revoking Process (Protect) (IG1, IG2, IG3)"/>
    <s v="Establish and follow a process, preferably automated, for revoking access to enterprise assets, through disabling accounts immediately upon termination, rights revocation, or role change of a user. Disabling accounts, instead of deleting accounts, may be necessary to preserve audit trails."/>
    <s v="Protect_x000a_Detect_x000a_Respond"/>
    <s v="x"/>
    <s v="x"/>
    <s v="x"/>
    <s v="Yes"/>
    <s v="Yes"/>
    <s v="Yes"/>
    <s v="Yes"/>
    <s v="Yes"/>
    <n v="5"/>
    <x v="3"/>
    <x v="0"/>
    <x v="4"/>
    <s v="Users"/>
    <s v="N/A"/>
    <s v="Personnel may not understand how provision of access rights and privileges can create risk of harm to systems and data."/>
    <s v="Attackers may exploit multiple vectors of attack, such as unauthorized access or unauthorized escalation, and may not be detected if standards for use of access privileges are not established, enforced, and monitored."/>
    <s v="An automated access revoking process is in place, with accounts disabled immediately upon termination or role change. This process preserves audit trails and is managed through SailPoint and ServiceDesk. There may be some applications that users may still have access post-termination due to not ensuring application owners are removing access. "/>
    <s v="Some applications may still have user access post-termination due to incomplete access revocation."/>
    <s v="Incomplete access revocation may lead to unauthorized access and potential security breaches."/>
    <n v="2"/>
    <n v="2"/>
    <s v="Common"/>
    <n v="4"/>
    <n v="2"/>
    <n v="2"/>
    <n v="2"/>
    <n v="2"/>
    <n v="8"/>
    <n v="8"/>
    <n v="9"/>
    <n v="2"/>
    <s v="Personnel Misuse"/>
    <n v="8"/>
    <s v="Accept"/>
    <s v=""/>
    <s v=""/>
    <m/>
    <s v=""/>
    <s v="Personnel Misuse"/>
    <n v="2"/>
    <n v="2"/>
    <s v="Common"/>
    <n v="4"/>
    <n v="2"/>
    <n v="2"/>
    <n v="2"/>
    <n v="2"/>
    <n v="8"/>
    <n v="8"/>
    <s v=""/>
    <s v=""/>
    <m/>
    <s v=""/>
    <n v="8"/>
    <s v="Access ControlGovernanceUsers"/>
    <m/>
    <m/>
    <m/>
    <m/>
    <s v="x"/>
    <s v="x"/>
    <s v="x"/>
    <s v="x"/>
    <m/>
  </r>
  <r>
    <n v="47"/>
    <x v="0"/>
    <s v="6.3 | Access Control Management | Require MFA for Externally-Exposed Applications (Protect) (IG1, IG2, IG3)"/>
    <s v="Require all externally-exposed enterprise or third-party applications to enforce MFA, where supported. Enforcing MFA through a directory service or SSO provider is a satisfactory implementation of this Safeguard."/>
    <s v="Protect_x000a_Detect_x000a_Respond"/>
    <s v="x"/>
    <s v="x"/>
    <s v="x"/>
    <s v="Yes"/>
    <s v="Yes"/>
    <s v="Yes"/>
    <s v="Yes"/>
    <s v="Yes"/>
    <n v="5"/>
    <x v="9"/>
    <x v="0"/>
    <x v="4"/>
    <s v="Users"/>
    <s v="N/A"/>
    <s v="Personnel may be unaware of risks that can be caused by improperly handling login credentials."/>
    <s v="Unauthorized people may access systems and applications without detection."/>
    <s v="MFA is required for all externally-exposed applications. Users are required to access corporate resources through Cisco Roam environments."/>
    <s v="No gaps identified."/>
    <s v="Failure to require MFA for externally-exposed applications may lead to unauthorized access and potential security breaches."/>
    <n v="2"/>
    <n v="5"/>
    <s v="Not Foreseeable"/>
    <n v="1"/>
    <n v="2"/>
    <n v="2"/>
    <n v="2"/>
    <n v="2"/>
    <n v="2"/>
    <n v="2"/>
    <n v="9"/>
    <n v="5"/>
    <s v="Personnel Misuse"/>
    <n v="2"/>
    <s v="Accept"/>
    <s v=""/>
    <s v=""/>
    <m/>
    <s v=""/>
    <s v="Personnel Misuse"/>
    <n v="2"/>
    <n v="5"/>
    <s v="Not Foreseeable"/>
    <n v="1"/>
    <n v="2"/>
    <n v="2"/>
    <n v="2"/>
    <n v="2"/>
    <n v="2"/>
    <n v="2"/>
    <s v=""/>
    <s v=""/>
    <m/>
    <s v=""/>
    <n v="2"/>
    <s v="Credential ManagementGovernanceUsers"/>
    <m/>
    <m/>
    <m/>
    <m/>
    <s v="x"/>
    <s v="x"/>
    <s v="x"/>
    <s v="x"/>
    <m/>
  </r>
  <r>
    <n v="48"/>
    <x v="0"/>
    <s v="6.4 | Access Control Management | Require MFA for Remote Network Access (Protect) (IG1, IG2, IG3)"/>
    <s v="Require MFA for remote network access."/>
    <s v="Protect_x000a_Detect_x000a_Respond"/>
    <s v="x"/>
    <s v="x"/>
    <s v="x"/>
    <s v="Yes"/>
    <s v="Yes"/>
    <s v="Yes"/>
    <s v="Yes"/>
    <s v="Yes"/>
    <n v="5"/>
    <x v="9"/>
    <x v="0"/>
    <x v="4"/>
    <s v="Users"/>
    <s v="N/A"/>
    <s v="Personnel may be unaware of risks that can be caused by improperly handling login credentials."/>
    <s v="Unauthorized people may access systems and applications without detection."/>
    <s v="MFA is enforced for remote network access, ensuring secure access to enterprise resources. Users are required to access corporate resources through Cisco Roam environments."/>
    <s v="No gaps identified."/>
    <s v="Failure to require MFA for remote network access may lead to unauthorized access and potential security breaches."/>
    <n v="2"/>
    <n v="5"/>
    <s v="Not Foreseeable"/>
    <n v="1"/>
    <n v="2"/>
    <n v="2"/>
    <n v="2"/>
    <n v="2"/>
    <n v="2"/>
    <n v="2"/>
    <n v="9"/>
    <n v="5"/>
    <s v="Personnel Misuse"/>
    <n v="2"/>
    <s v="Accept"/>
    <s v=""/>
    <s v=""/>
    <m/>
    <s v=""/>
    <s v="Personnel Misuse"/>
    <n v="2"/>
    <n v="5"/>
    <s v="Not Foreseeable"/>
    <n v="1"/>
    <n v="2"/>
    <n v="2"/>
    <n v="2"/>
    <n v="2"/>
    <n v="2"/>
    <n v="2"/>
    <s v=""/>
    <s v=""/>
    <m/>
    <s v=""/>
    <n v="2"/>
    <s v="Credential ManagementGovernanceUsers"/>
    <m/>
    <m/>
    <m/>
    <m/>
    <s v="x"/>
    <s v="x"/>
    <s v="x"/>
    <s v="x"/>
    <m/>
  </r>
  <r>
    <n v="49"/>
    <x v="0"/>
    <s v="6.5 | Access Control Management | Require MFA for Administrative Access (Protect) (IG1, IG2, IG3)"/>
    <s v="Require MFA for all administrative access accounts, where supported, on all enterprise assets, whether managed on-site or through a third-party provider."/>
    <s v="Protect_x000a_Detect_x000a_Respond"/>
    <s v="x"/>
    <s v="x"/>
    <s v="x"/>
    <s v="Yes"/>
    <s v="Yes"/>
    <s v="Yes"/>
    <s v="Yes"/>
    <s v="Yes"/>
    <n v="5"/>
    <x v="9"/>
    <x v="0"/>
    <x v="4"/>
    <s v="Users"/>
    <s v="N/A"/>
    <s v="Personnel may be unaware of risks that can be caused by improperly handling login credentials."/>
    <s v="Unauthorized people may access systems and applications without detection."/>
    <s v="MFA is required for all administrative access accounts through Delinea."/>
    <s v="No gaps identified."/>
    <s v="Failure to require MFA for administrative access may lead to unauthorized access and potential security breaches."/>
    <n v="2"/>
    <n v="5"/>
    <s v="Not Foreseeable"/>
    <n v="1"/>
    <n v="2"/>
    <n v="2"/>
    <n v="2"/>
    <n v="2"/>
    <n v="2"/>
    <n v="2"/>
    <n v="9"/>
    <n v="5"/>
    <s v="Personnel Misuse"/>
    <n v="2"/>
    <s v="Accept"/>
    <s v=""/>
    <s v=""/>
    <m/>
    <s v=""/>
    <s v="Personnel Misuse"/>
    <n v="2"/>
    <n v="5"/>
    <s v="Not Foreseeable"/>
    <n v="1"/>
    <n v="2"/>
    <n v="2"/>
    <n v="2"/>
    <n v="2"/>
    <n v="2"/>
    <n v="2"/>
    <s v=""/>
    <s v=""/>
    <m/>
    <s v=""/>
    <n v="2"/>
    <s v="Credential ManagementGovernanceUsers"/>
    <m/>
    <m/>
    <m/>
    <m/>
    <s v="x"/>
    <s v="x"/>
    <s v="x"/>
    <s v="x"/>
    <m/>
  </r>
  <r>
    <n v="50"/>
    <x v="0"/>
    <s v="6.6 | Access Control Management | Establish and Maintain an Inventory of Authentication and Authorization Systems (Identify) (IG2, IG3)"/>
    <s v="Establish and maintain an inventory of the enterprise’s authentication and authorization systems, including those hosted on-site or at a remote service provider. Review and update the inventory, at a minimum, annually, or more frequently."/>
    <s v="Identify"/>
    <m/>
    <s v="x"/>
    <s v="x"/>
    <s v="No"/>
    <s v="No"/>
    <s v="No"/>
    <s v="No"/>
    <s v="No"/>
    <n v="0"/>
    <x v="3"/>
    <x v="0"/>
    <x v="4"/>
    <s v="Users"/>
    <s v="N/A"/>
    <s v="Personnel may not understand how provision of access rights and privileges can create risk of harm to systems and data."/>
    <s v="Attackers may exploit multiple vectors of attack, such as unauthorized access or unauthorized escalation, and may not be detected if standards for use of access privileges are not established, enforced, and monitored."/>
    <s v="An inventory of authentication and authorization systems is maintained and reviewed annually. Systems include Entra and Delinea for authentication and authorization. Users have a preference over the MFA authenticator, but mostly Microsoft Authenticator is used."/>
    <s v="No gaps identified."/>
    <s v="Failure to maintain an inventory of authentication and authorization systems may lead to unauthorized access and potential security breaches."/>
    <n v="2"/>
    <n v="3"/>
    <s v="Foreseeable, expected"/>
    <n v="3"/>
    <n v="2"/>
    <n v="2"/>
    <n v="2"/>
    <n v="2"/>
    <n v="6"/>
    <n v="6"/>
    <n v="9"/>
    <n v="3"/>
    <s v="Personnel Misuse"/>
    <n v="6"/>
    <s v="Accept"/>
    <s v=""/>
    <s v=""/>
    <m/>
    <s v=""/>
    <s v="Personnel Misuse"/>
    <n v="2"/>
    <n v="3"/>
    <s v="Foreseeable, expected"/>
    <n v="3"/>
    <n v="2"/>
    <n v="2"/>
    <n v="2"/>
    <n v="2"/>
    <n v="6"/>
    <n v="6"/>
    <s v=""/>
    <s v=""/>
    <m/>
    <s v=""/>
    <n v="6"/>
    <s v="Access ControlGovernanceUsers"/>
    <m/>
    <m/>
    <m/>
    <m/>
    <m/>
    <m/>
    <m/>
    <m/>
    <m/>
  </r>
  <r>
    <n v="51"/>
    <x v="0"/>
    <s v="6.7 | Access Control Management | Centralize Access Control (Protect) (IG2, IG3)"/>
    <s v="Centralize access control for all enterprise assets through a directory service or SSO provider, where supported."/>
    <s v="Protect"/>
    <m/>
    <s v="x"/>
    <s v="x"/>
    <s v="No"/>
    <s v="No"/>
    <s v="No"/>
    <s v="No"/>
    <s v="No"/>
    <n v="0"/>
    <x v="3"/>
    <x v="1"/>
    <x v="4"/>
    <s v="Users"/>
    <s v="PR.AC-1 | Access Control  - Identities and credentials are managed for authorized devices and users_x000a_PR.AC-3 | Access Control  - Remote access is managed_x000a_PR.AC-4 | Access Control  - Access permissions are managed, incorporating the principles of least privilege and separation of duties_x000a_PR.PT-3 | Protective Technology  - Access to systems and assets is controlled, incorporating the principle of least functionality_x000a_"/>
    <s v="Access privileges may be unmonitored and abused by personnel, disgruntled employees, dismissed employees, or attackers."/>
    <s v="Systems and data may be compromised through unauthorized use of valid access accounts."/>
    <s v="Access control is centralized through directory services and SSO providers like Entra, ensuring consistent and secure access management."/>
    <s v="No gaps identified."/>
    <s v="Failure to centralize access control may lead to inconsistencie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Access ControlOperationUsers"/>
    <m/>
    <m/>
    <m/>
    <m/>
    <m/>
    <m/>
    <m/>
    <m/>
    <m/>
  </r>
  <r>
    <n v="52"/>
    <x v="0"/>
    <s v="6.8 | Access Control Management | Define and Maintain Role-Based Access Control (Protect) (IG3)"/>
    <s v="Define and maintain role-based access control, through determining and documenting the access rights necessary for each role within the enterprise to successfully carry out its assigned duties. Perform access control reviews of enterprise assets to validate that all privileges are authorized, on a recurring schedule at a minimum annually, or more frequently."/>
    <s v="Protect_x000a_Detect_x000a_Respond"/>
    <m/>
    <m/>
    <s v="x"/>
    <s v="Yes"/>
    <s v="Yes"/>
    <s v="Yes"/>
    <s v="Yes"/>
    <s v="Yes"/>
    <n v="5"/>
    <x v="3"/>
    <x v="1"/>
    <x v="4"/>
    <s v="Data"/>
    <s v="PR.AC-1 | Access Control  - Identities and credentials are managed for authorized devices and users_x000a_PR.AC-3 | Access Control  - Remote access is managed_x000a_PR.AC-4 | Access Control  - Access permissions are managed, incorporating the principles of least privilege and separation of duties_x000a_PR.PT-3 | Protective Technology  - Access to systems and assets is controlled, incorporating the principle of least functionality_x000a_"/>
    <s v="Access privileges may be unmonitored and abused by personnel, disgruntled employees, dismissed employees, or attackers."/>
    <s v="Systems and data may be compromised through unauthorized use of valid access accounts."/>
    <s v="Role-based access control (RBAC) is defined and maintained, with access rights documented for each role. Annual access control reviews are conducted to validate privileges, managed through SailPoint and Entra."/>
    <s v="No gaps identified."/>
    <s v="Failure to define and maintain role-based access control may lead to unauthorized access and potential security breaches."/>
    <n v="2"/>
    <n v="4"/>
    <s v="Foreseeable, not expected"/>
    <n v="2"/>
    <n v="2"/>
    <n v="2"/>
    <n v="2"/>
    <n v="2"/>
    <n v="4"/>
    <n v="4"/>
    <n v="9"/>
    <n v="4"/>
    <s v="Personnel Misuse"/>
    <n v="4"/>
    <s v="Accept"/>
    <s v=""/>
    <s v=""/>
    <m/>
    <s v=""/>
    <s v="Personnel Misuse"/>
    <n v="2"/>
    <n v="4"/>
    <s v="Foreseeable, not expected"/>
    <n v="2"/>
    <n v="2"/>
    <n v="2"/>
    <n v="2"/>
    <n v="2"/>
    <n v="4"/>
    <n v="4"/>
    <s v=""/>
    <s v=""/>
    <m/>
    <s v=""/>
    <n v="4"/>
    <s v="Access ControlOperationData"/>
    <m/>
    <m/>
    <m/>
    <m/>
    <s v="x"/>
    <m/>
    <s v="x"/>
    <s v="x"/>
    <m/>
  </r>
  <r>
    <n v="53"/>
    <x v="0"/>
    <s v="7.1 | Continuous Vulnerability Management | Establish and Maintain a Vulnerability Management Process (Protect) (IG1, IG2, IG3)"/>
    <s v="Establish and maintain a documented vulnerability management process for enterprise assets. Review and update documentation annually, or when significant enterprise changes occur that could impact this Safeguard."/>
    <s v="Identify_x000a_Protect_x000a_Detect_x000a_Respond"/>
    <s v="x"/>
    <s v="x"/>
    <s v="x"/>
    <s v="Yes"/>
    <s v="Yes"/>
    <s v="Yes"/>
    <s v="Yes"/>
    <s v="Yes"/>
    <n v="5"/>
    <x v="1"/>
    <x v="0"/>
    <x v="1"/>
    <s v="Applications"/>
    <s v="N/A"/>
    <s v="The organization may not be aware of opportunities for data breaches or system failure by malware, attackers, or user error."/>
    <s v="Hackers may launch multi-phase attacks on network systems by taking advantage of a series of vulnerabilities that permit sophisticated attacks."/>
    <s v="A documented vulnerability management process is established and maintained for all enterprise assets. The process is reviewed and updated annually, with changes communicated through regular meetings. Qualys VM as well as Crowdstrike is used for continuous monitoring, with weekly reports generated and reviewed."/>
    <s v="No gaps identified."/>
    <s v="Failure to establish and maintain a vulnerability management process may lead to undetected vulnerabilities and potential security breaches."/>
    <n v="2"/>
    <n v="4"/>
    <s v="Foreseeable, not expected"/>
    <n v="2"/>
    <n v="2"/>
    <n v="2"/>
    <n v="3"/>
    <n v="3"/>
    <n v="6"/>
    <n v="6"/>
    <n v="9"/>
    <n v="4"/>
    <s v="Hacking System"/>
    <n v="6"/>
    <s v="Accept"/>
    <s v=""/>
    <s v=""/>
    <m/>
    <s v=""/>
    <s v="Hacking System"/>
    <n v="2"/>
    <n v="4"/>
    <s v="Foreseeable, not expected"/>
    <n v="2"/>
    <n v="2"/>
    <n v="2"/>
    <n v="3"/>
    <n v="3"/>
    <n v="6"/>
    <n v="6"/>
    <s v=""/>
    <s v=""/>
    <m/>
    <s v=""/>
    <n v="6"/>
    <s v="Vulnerability ManagementGovernanceApplications"/>
    <m/>
    <m/>
    <m/>
    <s v="x"/>
    <s v="x"/>
    <m/>
    <s v="x"/>
    <m/>
    <m/>
  </r>
  <r>
    <n v="54"/>
    <x v="0"/>
    <s v="7.2 | Continuous Vulnerability Management | Establish and Maintain a Remediation Process (Respond) (IG1, IG2, IG3)"/>
    <s v="Establish and maintain a risk-based remediation strategy documented in a remediation process, with monthly, or more frequent, reviews."/>
    <s v="Identify_x000a_Protect_x000a_Detect_x000a_Respond"/>
    <s v="x"/>
    <s v="x"/>
    <s v="x"/>
    <s v="Yes"/>
    <s v="Yes"/>
    <s v="Yes"/>
    <s v="Yes"/>
    <s v="Yes"/>
    <n v="5"/>
    <x v="1"/>
    <x v="0"/>
    <x v="1"/>
    <s v="Applications"/>
    <s v="N/A"/>
    <s v="The organization may not be aware of opportunities for data breaches or system failure by malware, attackers, or user error."/>
    <s v="Hackers may launch multi-phase attacks on network systems by taking advantage of a series of vulnerabilities that permit sophisticated attacks."/>
    <s v="A risk-based remediation strategy is documented and maintained, with monthly reviews. Criticals and highs have a 30 day SLA to remediate, Mediums are 60 days, and Lows are 90 days. "/>
    <s v="No gaps identified."/>
    <s v="Failure to establish and maintain a remediation process may lead to unaddressed vulnerabilities and potential security breaches."/>
    <n v="2"/>
    <n v="4"/>
    <s v="Foreseeable, not expected"/>
    <n v="2"/>
    <n v="2"/>
    <n v="2"/>
    <n v="3"/>
    <n v="3"/>
    <n v="6"/>
    <n v="6"/>
    <n v="9"/>
    <n v="4"/>
    <s v="Hacking System"/>
    <n v="6"/>
    <s v="Accept"/>
    <s v=""/>
    <s v=""/>
    <m/>
    <s v=""/>
    <s v="Hacking System"/>
    <n v="2"/>
    <n v="4"/>
    <s v="Foreseeable, not expected"/>
    <n v="2"/>
    <n v="2"/>
    <n v="2"/>
    <n v="3"/>
    <n v="3"/>
    <n v="6"/>
    <n v="6"/>
    <s v=""/>
    <s v=""/>
    <m/>
    <s v=""/>
    <n v="6"/>
    <s v="Vulnerability ManagementGovernanceApplications"/>
    <m/>
    <m/>
    <m/>
    <s v="x"/>
    <s v="x"/>
    <m/>
    <s v="x"/>
    <m/>
    <m/>
  </r>
  <r>
    <n v="55"/>
    <x v="0"/>
    <s v="7.3 | Continuous Vulnerability Management | Perform Automated Operating System Patch Management (Protect) (IG1, IG2, IG3)"/>
    <s v="Perform operating system updates on enterprise assets through automated patch management on a monthly, or more frequent, basis."/>
    <s v="Identify_x000a_Protect_x000a_Detect_x000a_Respond"/>
    <s v="x"/>
    <s v="x"/>
    <s v="x"/>
    <s v="Yes"/>
    <s v="Yes"/>
    <s v="Yes"/>
    <s v="Yes"/>
    <s v="Yes"/>
    <n v="5"/>
    <x v="1"/>
    <x v="1"/>
    <x v="0"/>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Patch cycles for systems and servers are organized into different zones for effective management, done weekly through SCCM. Workstations have automated patching schedules as well through SCCM and Intune. "/>
    <s v="No gaps identified."/>
    <s v="Failure to perform automated operating system patch management may lead to outdated systems and potential security breaches."/>
    <n v="3"/>
    <n v="4"/>
    <s v="Foreseeable, not expected"/>
    <n v="2"/>
    <n v="2"/>
    <n v="2"/>
    <n v="3"/>
    <n v="3"/>
    <n v="6"/>
    <n v="6"/>
    <n v="9"/>
    <n v="4"/>
    <s v="Physical Facility"/>
    <n v="6"/>
    <s v="Accept"/>
    <s v=""/>
    <s v=""/>
    <m/>
    <s v=""/>
    <s v="Physical Facility"/>
    <n v="3"/>
    <n v="4"/>
    <s v="Foreseeable, not expected"/>
    <n v="2"/>
    <n v="2"/>
    <n v="2"/>
    <n v="3"/>
    <n v="3"/>
    <n v="6"/>
    <n v="6"/>
    <s v=""/>
    <s v=""/>
    <m/>
    <s v=""/>
    <n v="6"/>
    <s v="Vulnerability ManagementOperationApplications"/>
    <m/>
    <m/>
    <m/>
    <s v="x"/>
    <s v="x"/>
    <m/>
    <s v="x"/>
    <m/>
    <m/>
  </r>
  <r>
    <n v="56"/>
    <x v="0"/>
    <s v="7.4 | Continuous Vulnerability Management | Perform Automated Application Patch Management (Protect) (IG1, IG2, IG3)"/>
    <s v="Perform application updates on enterprise assets through automated patch management on a monthly, or more frequent, basis."/>
    <s v="Identify_x000a_Protect_x000a_Detect_x000a_Respond"/>
    <s v="x"/>
    <s v="x"/>
    <s v="x"/>
    <s v="Yes"/>
    <s v="Yes"/>
    <s v="Yes"/>
    <s v="Yes"/>
    <s v="Yes"/>
    <n v="5"/>
    <x v="1"/>
    <x v="1"/>
    <x v="0"/>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Web browsers are updated at least thrice a week. Third-party applications have been lacking with SCCM but are supported by Qualys VM scans to discover the vulnerabilities."/>
    <s v="Lack of automated patch management for third-party applications."/>
    <s v="Lack of automated patch management for third-party applications may lead to unpatched vulnerabilities and potential security breaches."/>
    <n v="3"/>
    <n v="2"/>
    <s v="Common"/>
    <n v="4"/>
    <n v="2"/>
    <n v="2"/>
    <n v="3"/>
    <n v="3"/>
    <n v="12"/>
    <n v="12"/>
    <n v="9"/>
    <n v="2"/>
    <s v="Physical Facility"/>
    <n v="12"/>
    <s v="Manage"/>
    <s v="Implement Information Security Vulnerability Management"/>
    <s v="Establish, manage and validate operational activities for Information Security Vulnerability Management including:_x000a_ * execution, review and improvement of Vulnerability Management activities including patch management, vulnerability assessment, penetration testing, risk assessment, remediation, and management review; and_x000a_ * reporting of Risk Assessment performance metrics_x000a_"/>
    <s v="Implement automated patch management for third-party applications using SCCM or an alternative tool to ensure timely updates and reduce vulnerabilities."/>
    <s v="Estimated Start - TBD_x000a_Estimated Completion - TBD_x000a_-----_x000a_"/>
    <s v="Physical Facility"/>
    <n v="3"/>
    <n v="4"/>
    <s v="Foreseeable, not expected"/>
    <n v="2"/>
    <n v="2"/>
    <n v="2"/>
    <n v="3"/>
    <n v="3"/>
    <n v="6"/>
    <n v="6"/>
    <s v="Pending"/>
    <s v="TBD"/>
    <m/>
    <s v=""/>
    <n v="12"/>
    <s v="Vulnerability ManagementOperationApplications"/>
    <m/>
    <s v="x"/>
    <m/>
    <s v="x"/>
    <s v="x"/>
    <m/>
    <s v="x"/>
    <m/>
    <m/>
  </r>
  <r>
    <n v="57"/>
    <x v="0"/>
    <s v="7.5 | Continuous Vulnerability Management | Perform Automated Vulnerability Scans of Internal Enterprise Assets (Identify) (IG2, IG3)"/>
    <s v="Perform automated vulnerability scans of internal enterprise assets on a quarterly, or more frequent, basis. Conduct both authenticated and unauthenticated scans, using a SCAP-compliant vulnerability scanning tool."/>
    <s v="Identify_x000a_Protect_x000a_Detect_x000a_Respond"/>
    <m/>
    <s v="x"/>
    <s v="x"/>
    <s v="Yes"/>
    <s v="Yes"/>
    <s v="Yes"/>
    <s v="Yes"/>
    <s v="Yes"/>
    <n v="5"/>
    <x v="1"/>
    <x v="1"/>
    <x v="1"/>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utomated vulnerability scans of internal enterprise assets are performed continuously using Qualys VM. Both authenticated and unauthenticated scans are conducted to ensure comprehensive coverage. Application code vulnerability scans are not performed."/>
    <s v="Application code vulnerability scans are not performed."/>
    <s v="Lack of application code vulnerability scans may lead to undetected vulnerabilities in application code and potential security breaches."/>
    <n v="2"/>
    <n v="2"/>
    <s v="Common"/>
    <n v="4"/>
    <n v="2"/>
    <n v="2"/>
    <n v="3"/>
    <n v="3"/>
    <n v="12"/>
    <n v="12"/>
    <n v="9"/>
    <n v="2"/>
    <s v="Hacking System"/>
    <n v="12"/>
    <s v="Manage"/>
    <s v="Implement Information Security Vulnerability Management"/>
    <s v="Establish, manage and validate operational activities for Information Security Vulnerability Management including:_x000a_ * execution, review and improvement of Vulnerability Management activities including patch management, vulnerability assessment, penetration testing, risk assessment, remediation, and management review; and_x000a_ * reporting of Risk Assessment performance metrics_x000a_"/>
    <s v="Integrate application code vulnerability scans into the SDLC using static and dynamic analysis tools to identify and remediate code-level vulnerabilities."/>
    <s v="Estimated Start - TBD_x000a_Estimated Completion - TBD_x000a_-----_x000a_"/>
    <s v="Hacking System"/>
    <n v="2"/>
    <n v="4"/>
    <s v="Foreseeable, not expected"/>
    <n v="2"/>
    <n v="2"/>
    <n v="2"/>
    <n v="3"/>
    <n v="3"/>
    <n v="6"/>
    <n v="6"/>
    <s v="Pending"/>
    <s v="TBD"/>
    <m/>
    <s v=""/>
    <n v="12"/>
    <s v="Vulnerability ManagementOperationApplications"/>
    <m/>
    <m/>
    <m/>
    <s v="x"/>
    <s v="x"/>
    <m/>
    <s v="x"/>
    <m/>
    <m/>
  </r>
  <r>
    <n v="58"/>
    <x v="0"/>
    <s v="7.6 | Continuous Vulnerability Management | Perform Automated Vulnerability Scans of Externally-Exposed Enterprise Assets (Identify) (IG2, IG3)"/>
    <s v="Perform automated vulnerability scans of externally-exposed enterprise assets using a SCAP-compliant vulnerability scanning tool. Perform scans on a monthly, or more frequent, basis. "/>
    <s v="Identify_x000a_Protect_x000a_Detect_x000a_Respond"/>
    <m/>
    <s v="x"/>
    <s v="x"/>
    <s v="Yes"/>
    <s v="Yes"/>
    <s v="Yes"/>
    <s v="Yes"/>
    <s v="Yes"/>
    <n v="5"/>
    <x v="1"/>
    <x v="1"/>
    <x v="1"/>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utomated vulnerability scans of externally-exposed enterprise assets are conducted monthly using Qualys VM. External vulnerability scanning is also performed using tools like Sapio and Panorays."/>
    <s v="No gaps identified."/>
    <s v="Failure to perform automated vulnerability scans of externally-exposed enterprise assets may lead to undetected vulnerabilities and potential security breaches."/>
    <n v="2"/>
    <n v="4"/>
    <s v="Foreseeable, not expected"/>
    <n v="2"/>
    <n v="2"/>
    <n v="2"/>
    <n v="3"/>
    <n v="3"/>
    <n v="6"/>
    <n v="6"/>
    <n v="9"/>
    <n v="4"/>
    <s v="Hacking System"/>
    <n v="6"/>
    <s v="Accept"/>
    <s v=""/>
    <s v=""/>
    <m/>
    <s v=""/>
    <s v="Hacking System"/>
    <n v="2"/>
    <n v="4"/>
    <s v="Foreseeable, not expected"/>
    <n v="2"/>
    <n v="2"/>
    <n v="2"/>
    <n v="3"/>
    <n v="3"/>
    <n v="6"/>
    <n v="6"/>
    <s v=""/>
    <s v=""/>
    <m/>
    <s v=""/>
    <n v="6"/>
    <s v="Vulnerability ManagementOperationApplications"/>
    <m/>
    <m/>
    <m/>
    <s v="x"/>
    <s v="x"/>
    <m/>
    <s v="x"/>
    <m/>
    <m/>
  </r>
  <r>
    <n v="59"/>
    <x v="0"/>
    <s v="7.7 | Continuous Vulnerability Management | Remediate Detected Vulnerabilities (Respond) (IG2, IG3)"/>
    <s v="Remediate detected vulnerabilities in software through processes and tooling on a monthly, or more frequent, basis, based on the remediation process."/>
    <s v="Identify_x000a_Protect_x000a_Detect_x000a_Respond"/>
    <m/>
    <s v="x"/>
    <s v="x"/>
    <s v="Yes"/>
    <s v="Yes"/>
    <s v="Yes"/>
    <s v="Yes"/>
    <s v="Yes"/>
    <n v="5"/>
    <x v="1"/>
    <x v="1"/>
    <x v="0"/>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Detected vulnerabilities are remediated based on the documented remediation process. The remediation process is tracked and managed using Qualys VM, with tailored True Risk scoring. Findings are also tracked in LogicGate. Lack of adequate resources delay the remediation process."/>
    <s v="Lack of adequate resources delay the remediation process."/>
    <s v="Failure to remediate detected vulnerabilities may lead to unaddressed vulnerabilities and potential security breaches."/>
    <n v="3"/>
    <n v="2"/>
    <s v="Common"/>
    <n v="4"/>
    <n v="2"/>
    <n v="2"/>
    <n v="3"/>
    <n v="3"/>
    <n v="12"/>
    <n v="12"/>
    <n v="9"/>
    <n v="2"/>
    <s v="Physical Facility"/>
    <n v="12"/>
    <s v="Manage"/>
    <s v="Implement Information Security Vulnerability Management"/>
    <s v="Establish, manage and validate operational activities for Information Security Vulnerability Management including:_x000a_ * execution, review and improvement of Vulnerability Management activities including patch management, vulnerability assessment, penetration testing, risk assessment, remediation, and management review; and_x000a_ * reporting of Risk Assessment performance metrics_x000a_"/>
    <s v="Allocate sufficient resources for the remediation of detected vulnerabilities, ensuring timely and effective resolution to minimize security risks."/>
    <s v="Estimated Start - TBD_x000a_Estimated Completion - TBD_x000a_-----_x000a_"/>
    <s v="Physical Facility"/>
    <n v="3"/>
    <n v="4"/>
    <s v="Foreseeable, not expected"/>
    <n v="2"/>
    <n v="2"/>
    <n v="2"/>
    <n v="3"/>
    <n v="3"/>
    <n v="6"/>
    <n v="6"/>
    <s v="Pending"/>
    <s v="TBD"/>
    <m/>
    <s v=""/>
    <n v="12"/>
    <s v="Vulnerability ManagementOperationApplications"/>
    <m/>
    <m/>
    <m/>
    <s v="x"/>
    <s v="x"/>
    <m/>
    <s v="x"/>
    <m/>
    <m/>
  </r>
  <r>
    <n v="60"/>
    <x v="0"/>
    <s v="8.1 | Audit Log Management | Establish and Maintain an Audit Log Management Process (Protect) (IG1, IG2, IG3)"/>
    <s v="Establish and maintain an audit log management process that defines the enterprise’s logging requirements. At a minimum, address the collection, review, and retention of audit logs for enterprise assets. Review and update documentation annually, or when significant enterprise changes occur that could impact this Safeguard."/>
    <s v="Detect_x000a_Respond_x000a_"/>
    <s v="x"/>
    <s v="x"/>
    <s v="x"/>
    <s v="Yes"/>
    <s v="Yes"/>
    <s v="Yes"/>
    <s v="Yes"/>
    <s v="Yes"/>
    <n v="5"/>
    <x v="6"/>
    <x v="0"/>
    <x v="0"/>
    <s v="Network"/>
    <s v="PR.PT-1 | Protective Technology  - Audit/log records are determined, documented, implemented, and reviewed in accordance with policy_x000a_"/>
    <s v="Personnel may not understand expectations for the logging and monitoring of critical systems and data."/>
    <s v="Attackers or malware, or careless use of data and applications, may go undetected."/>
    <s v="An audit log management process is established and maintained, defining the enterprise's logging requirements. Documentation is reviewed and updated annually. Artic Wolf is used to manage and track event logs, supported by a 24/7 MDR service."/>
    <s v="No gaps identified."/>
    <s v="Failure to establish and maintain an audit log management process may lead to inadequate logging and potential difficulties in forensic analysis."/>
    <n v="3"/>
    <n v="4"/>
    <s v="Foreseeable, not expected"/>
    <n v="2"/>
    <n v="2"/>
    <n v="2"/>
    <n v="3"/>
    <n v="3"/>
    <n v="6"/>
    <n v="6"/>
    <n v="9"/>
    <n v="4"/>
    <s v="Physical Facility"/>
    <n v="6"/>
    <s v="Accept"/>
    <s v=""/>
    <s v=""/>
    <m/>
    <s v=""/>
    <s v="Physical Facility"/>
    <n v="3"/>
    <n v="4"/>
    <s v="Foreseeable, not expected"/>
    <n v="2"/>
    <n v="2"/>
    <n v="2"/>
    <n v="3"/>
    <n v="3"/>
    <n v="6"/>
    <n v="6"/>
    <s v=""/>
    <s v=""/>
    <m/>
    <s v=""/>
    <n v="6"/>
    <s v="Monitoring &amp; LoggingGovernanceNetwork"/>
    <m/>
    <m/>
    <m/>
    <s v="x"/>
    <s v="x"/>
    <s v="x"/>
    <s v="x"/>
    <m/>
    <m/>
  </r>
  <r>
    <n v="61"/>
    <x v="0"/>
    <s v="8.2 | Audit Log Management | Collect Audit Logs (Detect) (IG1, IG2, IG3)"/>
    <s v="Collect audit logs. Ensure that logging, per the enterprise’s audit log management process, has been enabled across enterprise assets."/>
    <s v="Detect_x000a_Respond_x000a_"/>
    <s v="x"/>
    <s v="x"/>
    <s v="x"/>
    <s v="Yes"/>
    <s v="Yes"/>
    <s v="Yes"/>
    <s v="Yes"/>
    <s v="Yes"/>
    <n v="5"/>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Audit logs are collected across all enterprise assets as per the audit log management process. Entra, CrowdStrike, Veronis, Firewall logs,  and server syslogs are integrated with Artic Wolf for logging and monitoring. Qualys, Service Manager, and Proofpoint logs are not collected in Artic Wolf."/>
    <s v="Some logs (Qualys, Service Manager, and Proofpoint) are not collected in Artic Wolf."/>
    <s v="Failure to collect logs from all systems may result in incomplete monitoring and potential undetected threats."/>
    <n v="2"/>
    <n v="2"/>
    <s v="Common"/>
    <n v="4"/>
    <n v="2"/>
    <n v="2"/>
    <n v="3"/>
    <n v="3"/>
    <n v="12"/>
    <n v="12"/>
    <n v="9"/>
    <n v="2"/>
    <s v="Hacking System"/>
    <n v="12"/>
    <s v="Manage"/>
    <s v="Implement Information Security Logging &amp; Monitoring"/>
    <s v="Establish, manage and validate operational activities for Logging &amp; Monitoring including:_x000a_ * enable logging;_x000a_ * ensure the integrity of log data;_x000a_ * protect and retain log data;_x000a_ * integrate notification process with vulnerability management and incident response; and_x000a_ * reporting of Logging &amp; Monitoring performance metrics_x000a_"/>
    <s v="Integrate Qualys, Service Manager, and Proofpoint logs into Artic Wolf to ensure comprehensive log collection and monitoring across all enterprise assets."/>
    <s v="Estimated Start - TBD_x000a_Estimated Completion - TBD_x000a_-----_x000a_"/>
    <s v="Hacking System"/>
    <n v="2"/>
    <n v="4"/>
    <s v="Foreseeable, not expected"/>
    <n v="2"/>
    <n v="2"/>
    <n v="2"/>
    <n v="3"/>
    <n v="3"/>
    <n v="6"/>
    <n v="6"/>
    <s v="Pending"/>
    <s v="TBD"/>
    <m/>
    <s v=""/>
    <n v="12"/>
    <s v="Monitoring &amp; LoggingOperationNetwork"/>
    <m/>
    <m/>
    <m/>
    <s v="x"/>
    <s v="x"/>
    <m/>
    <s v="x"/>
    <m/>
    <m/>
  </r>
  <r>
    <n v="62"/>
    <x v="0"/>
    <s v="8.3 | Audit Log Management | Ensure Adequate Audit Log Storage (Protect) (IG1, IG2, IG3)"/>
    <s v="Ensure that logging destinations maintain adequate storage to comply with the enterprise’s audit log management process."/>
    <s v="Detect_x000a_Respond_x000a_"/>
    <s v="x"/>
    <s v="x"/>
    <s v="x"/>
    <s v="Yes"/>
    <s v="Yes"/>
    <s v="Yes"/>
    <s v="Yes"/>
    <s v="Yes"/>
    <n v="5"/>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Adequate storage for logging destinations is maintained to comply with the audit log management process. "/>
    <s v="No gaps identified."/>
    <s v="Failure to ensure adequate storage for audit logs may lead to loss of critical log data and hinder forensic investigations."/>
    <n v="2"/>
    <n v="4"/>
    <s v="Foreseeable, not expected"/>
    <n v="2"/>
    <n v="2"/>
    <n v="2"/>
    <n v="2"/>
    <n v="2"/>
    <n v="4"/>
    <n v="4"/>
    <n v="9"/>
    <n v="4"/>
    <s v="Hacking System"/>
    <n v="4"/>
    <s v="Accept"/>
    <s v=""/>
    <s v=""/>
    <m/>
    <s v=""/>
    <s v="Hacking System"/>
    <n v="2"/>
    <n v="4"/>
    <s v="Foreseeable, not expected"/>
    <n v="2"/>
    <n v="2"/>
    <n v="2"/>
    <n v="2"/>
    <n v="2"/>
    <n v="4"/>
    <n v="4"/>
    <s v=""/>
    <s v=""/>
    <m/>
    <s v=""/>
    <n v="4"/>
    <s v="Monitoring &amp; LoggingOperationNetwork"/>
    <m/>
    <m/>
    <m/>
    <s v="x"/>
    <s v="x"/>
    <s v="x"/>
    <s v="x"/>
    <m/>
    <m/>
  </r>
  <r>
    <n v="63"/>
    <x v="0"/>
    <s v="8.4 | Audit Log Management | Standardize Time Synchronization (Protect) (IG2, IG3)"/>
    <s v="Standardize time synchronization. Configure at least two synchronized time sources across enterprise assets, where supported."/>
    <s v="Protect"/>
    <m/>
    <s v="x"/>
    <s v="x"/>
    <s v="No"/>
    <s v="No"/>
    <s v="No"/>
    <s v="No"/>
    <s v="No"/>
    <n v="0"/>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Time synchronization is standardized across enterprise assets using at least two synchronized time sources. This ensures accurate logging and forensic analysis."/>
    <s v="No gaps identified."/>
    <s v="Failure to standardize time synchronization may lead to inaccurate log data, complicating forensic analysis and incident response."/>
    <n v="2"/>
    <n v="4"/>
    <s v="Foreseeable, not expected"/>
    <n v="2"/>
    <n v="2"/>
    <n v="2"/>
    <n v="2"/>
    <n v="2"/>
    <n v="4"/>
    <n v="4"/>
    <n v="9"/>
    <n v="4"/>
    <s v="Hacking System"/>
    <n v="4"/>
    <s v="Accept"/>
    <s v=""/>
    <s v=""/>
    <m/>
    <s v=""/>
    <s v="Hacking System"/>
    <n v="2"/>
    <n v="4"/>
    <s v="Foreseeable, not expected"/>
    <n v="2"/>
    <n v="2"/>
    <n v="2"/>
    <n v="2"/>
    <n v="2"/>
    <n v="4"/>
    <n v="4"/>
    <s v=""/>
    <s v=""/>
    <m/>
    <s v=""/>
    <n v="4"/>
    <s v="Monitoring &amp; LoggingOperationNetwork"/>
    <m/>
    <m/>
    <m/>
    <m/>
    <m/>
    <m/>
    <m/>
    <m/>
    <m/>
  </r>
  <r>
    <n v="64"/>
    <x v="0"/>
    <s v="8.5 | Audit Log Management | Collect Detailed Audit Logs (Detect) (IG2, IG3)"/>
    <s v="Configure detailed audit logging for enterprise assets containing sensitive data. Include event source, date, username, timestamp, source addresses, destination addresses, and other useful elements that could assist in a forensic investigation."/>
    <s v="Detect"/>
    <m/>
    <s v="x"/>
    <s v="x"/>
    <s v="No"/>
    <s v="No"/>
    <s v="No"/>
    <s v="No"/>
    <s v="Yes"/>
    <n v="1"/>
    <x v="6"/>
    <x v="1"/>
    <x v="0"/>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Detailed audit logging is adequately configured for enterprise assets containing sensitive data. "/>
    <s v="No gaps identified."/>
    <s v="Failure to collect detailed audit logs may hinder forensic investigations and incident response."/>
    <n v="3"/>
    <n v="4"/>
    <s v="Foreseeable, not expected"/>
    <n v="2"/>
    <n v="2"/>
    <n v="2"/>
    <n v="2"/>
    <n v="2"/>
    <n v="4"/>
    <n v="4"/>
    <n v="9"/>
    <n v="4"/>
    <s v="Physical Facility"/>
    <n v="4"/>
    <s v="Accept"/>
    <s v=""/>
    <s v=""/>
    <m/>
    <s v=""/>
    <s v="Physical Facility"/>
    <n v="3"/>
    <n v="4"/>
    <s v="Foreseeable, not expected"/>
    <n v="2"/>
    <n v="2"/>
    <n v="2"/>
    <n v="2"/>
    <n v="2"/>
    <n v="4"/>
    <n v="4"/>
    <s v=""/>
    <s v=""/>
    <m/>
    <s v=""/>
    <n v="4"/>
    <s v="Monitoring &amp; LoggingOperationNetwork"/>
    <m/>
    <m/>
    <m/>
    <s v="x"/>
    <m/>
    <m/>
    <m/>
    <m/>
    <m/>
  </r>
  <r>
    <n v="65"/>
    <x v="0"/>
    <s v="8.6 | Audit Log Management | Collect DNS Query Audit Logs (Detect) (IG2, IG3)"/>
    <s v="Collect DNS query audit logs on enterprise assets, where appropriate and supported."/>
    <s v="Detect"/>
    <m/>
    <s v="x"/>
    <s v="x"/>
    <s v="No"/>
    <s v="No"/>
    <s v="No"/>
    <s v="No"/>
    <s v="No"/>
    <n v="0"/>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DNS query audit logs are collected on enterprise assets where supported. DNS filtering is done at the firewall level and is ingested to Artic Wolf. Azure DNS is used for public DNS, while internal DNS is managed on Microsoft DNS servers. "/>
    <s v="No gaps identified."/>
    <s v="Failure to collect DNS query audit logs may lead to undetected DNS-based attacks and hinder forensic analysis."/>
    <n v="2"/>
    <n v="4"/>
    <s v="Foreseeable, not expected"/>
    <n v="2"/>
    <n v="2"/>
    <n v="2"/>
    <n v="2"/>
    <n v="2"/>
    <n v="4"/>
    <n v="4"/>
    <n v="9"/>
    <n v="4"/>
    <s v="Hacking System"/>
    <n v="4"/>
    <s v="Accept"/>
    <s v=""/>
    <s v=""/>
    <m/>
    <s v=""/>
    <s v="Hacking System"/>
    <n v="2"/>
    <n v="4"/>
    <s v="Foreseeable, not expected"/>
    <n v="2"/>
    <n v="2"/>
    <n v="2"/>
    <n v="2"/>
    <n v="2"/>
    <n v="4"/>
    <n v="4"/>
    <s v=""/>
    <s v=""/>
    <m/>
    <s v=""/>
    <n v="4"/>
    <s v="Monitoring &amp; LoggingOperationNetwork"/>
    <m/>
    <m/>
    <m/>
    <m/>
    <m/>
    <m/>
    <m/>
    <m/>
    <m/>
  </r>
  <r>
    <n v="66"/>
    <x v="0"/>
    <s v="8.7 | Audit Log Management | Collect URL Request Audit Logs (Detect) (IG2, IG3)"/>
    <s v="Collect URL request audit logs on enterprise assets, where appropriate and supported."/>
    <s v="Detect"/>
    <m/>
    <s v="x"/>
    <s v="x"/>
    <s v="No"/>
    <s v="No"/>
    <s v="No"/>
    <s v="No"/>
    <s v="No"/>
    <n v="0"/>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URL request audit logs are collected on enterprise assets where supported. URL filtering is done at the firewall level and is ingested to Artic Wolf. Netskope also provides URL filtering and monitoring for remote access, with alerts reported to Artic Wolf. Netskope also gives a daily report of users that go to specific banned categories."/>
    <s v="No gaps identified."/>
    <s v="Failure to collect URL request audit logs may lead to undetected web-based attacks and hinder forensic analysis."/>
    <n v="2"/>
    <n v="4"/>
    <s v="Foreseeable, not expected"/>
    <n v="2"/>
    <n v="2"/>
    <n v="2"/>
    <n v="2"/>
    <n v="2"/>
    <n v="4"/>
    <n v="4"/>
    <n v="9"/>
    <n v="4"/>
    <s v="Hacking System"/>
    <n v="4"/>
    <s v="Accept"/>
    <s v=""/>
    <s v=""/>
    <m/>
    <s v=""/>
    <s v="Hacking System"/>
    <n v="2"/>
    <n v="4"/>
    <s v="Foreseeable, not expected"/>
    <n v="2"/>
    <n v="2"/>
    <n v="2"/>
    <n v="2"/>
    <n v="2"/>
    <n v="4"/>
    <n v="4"/>
    <s v=""/>
    <s v=""/>
    <m/>
    <s v=""/>
    <n v="4"/>
    <s v="Monitoring &amp; LoggingOperationNetwork"/>
    <m/>
    <m/>
    <m/>
    <m/>
    <m/>
    <m/>
    <m/>
    <m/>
    <m/>
  </r>
  <r>
    <n v="67"/>
    <x v="0"/>
    <s v="8.8 | Audit Log Management | Collect Command-Line Audit Logs (Detect) (IG2, IG3)"/>
    <s v="Collect command-line audit logs. Example implementations include collecting audit logs from PowerShell®, BASH™, and remote administrative terminals."/>
    <s v="Detect"/>
    <m/>
    <s v="x"/>
    <s v="x"/>
    <s v="No"/>
    <s v="No"/>
    <s v="No"/>
    <s v="No"/>
    <s v="No"/>
    <n v="0"/>
    <x v="6"/>
    <x v="1"/>
    <x v="1"/>
    <s v="Devices"/>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Command-line audit logs are collected from PowerShell®, BASH™, and remote administrative terminals. Systems like LibreNMS use SSH in Roam for admin work and logging."/>
    <s v="No gaps identified."/>
    <s v="Failure to collect command-line audit logs may hinder forensic investigations and incident response."/>
    <n v="2"/>
    <n v="4"/>
    <s v="Foreseeable, not expected"/>
    <n v="2"/>
    <n v="2"/>
    <n v="2"/>
    <n v="2"/>
    <n v="2"/>
    <n v="4"/>
    <n v="4"/>
    <n v="9"/>
    <n v="4"/>
    <s v="Hacking System"/>
    <n v="4"/>
    <s v="Accept"/>
    <s v=""/>
    <s v=""/>
    <m/>
    <s v=""/>
    <s v="Hacking System"/>
    <n v="2"/>
    <n v="4"/>
    <s v="Foreseeable, not expected"/>
    <n v="2"/>
    <n v="2"/>
    <n v="2"/>
    <n v="2"/>
    <n v="2"/>
    <n v="4"/>
    <n v="4"/>
    <s v=""/>
    <s v=""/>
    <m/>
    <s v=""/>
    <n v="4"/>
    <s v="Monitoring &amp; LoggingOperationDevices"/>
    <m/>
    <m/>
    <m/>
    <m/>
    <m/>
    <m/>
    <m/>
    <m/>
    <m/>
  </r>
  <r>
    <n v="68"/>
    <x v="0"/>
    <s v="8.9 | Audit Log Management | Centralize Audit Logs (Detect) (IG2, IG3)"/>
    <s v="Centralize, to the extent possible, audit log collection and retention across enterprise assets."/>
    <s v="Detect_x000a_Respond_x000a_"/>
    <m/>
    <s v="x"/>
    <s v="x"/>
    <s v="Yes"/>
    <s v="Yes"/>
    <s v="Yes"/>
    <s v="Yes"/>
    <s v="Yes"/>
    <n v="5"/>
    <x v="6"/>
    <x v="1"/>
    <x v="0"/>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Audit log collection and retention are centralized across enterprise assets. Artic Wolf is the primary MDR and SIEM solution, centralizing logs from various systems."/>
    <s v="No gaps identified."/>
    <s v="Failure to centralize audit logs may lead to fragmented log data and hinder comprehensive monitoring and analysis."/>
    <n v="3"/>
    <n v="4"/>
    <s v="Foreseeable, not expected"/>
    <n v="2"/>
    <n v="2"/>
    <n v="2"/>
    <n v="2"/>
    <n v="2"/>
    <n v="4"/>
    <n v="4"/>
    <n v="9"/>
    <n v="4"/>
    <s v="Physical Facility"/>
    <n v="4"/>
    <s v="Accept"/>
    <s v=""/>
    <s v=""/>
    <m/>
    <s v=""/>
    <s v="Physical Facility"/>
    <n v="3"/>
    <n v="4"/>
    <s v="Foreseeable, not expected"/>
    <n v="2"/>
    <n v="2"/>
    <n v="2"/>
    <n v="2"/>
    <n v="2"/>
    <n v="4"/>
    <n v="4"/>
    <s v=""/>
    <s v=""/>
    <m/>
    <s v=""/>
    <n v="4"/>
    <s v="Monitoring &amp; LoggingOperationNetwork"/>
    <m/>
    <m/>
    <m/>
    <s v="x"/>
    <s v="x"/>
    <s v="x"/>
    <s v="x"/>
    <m/>
    <m/>
  </r>
  <r>
    <n v="69"/>
    <x v="0"/>
    <s v="8.10 | Audit Log Management | Retain Audit Logs (Protect) (IG2, IG3)"/>
    <s v="Retain audit logs across enterprise assets for a minimum of 90 days."/>
    <s v="Detect_x000a_Respond_x000a_"/>
    <m/>
    <s v="x"/>
    <s v="x"/>
    <s v="Yes"/>
    <s v="Yes"/>
    <s v="Yes"/>
    <s v="Yes"/>
    <s v="Yes"/>
    <n v="5"/>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Audit logs are adequately retained across enterprise assets, ensuring compliance and availability for forensic analysis."/>
    <s v="No gaps identified."/>
    <s v="Failure to retain audit logs for a minimum of 90 days may hinder forensic investigations and compliance efforts."/>
    <n v="2"/>
    <n v="4"/>
    <s v="Foreseeable, not expected"/>
    <n v="2"/>
    <n v="2"/>
    <n v="2"/>
    <n v="2"/>
    <n v="2"/>
    <n v="4"/>
    <n v="4"/>
    <n v="9"/>
    <n v="4"/>
    <s v="Hacking System"/>
    <n v="4"/>
    <s v="Accept"/>
    <s v=""/>
    <s v=""/>
    <m/>
    <s v=""/>
    <s v="Hacking System"/>
    <n v="2"/>
    <n v="4"/>
    <s v="Foreseeable, not expected"/>
    <n v="2"/>
    <n v="2"/>
    <n v="2"/>
    <n v="2"/>
    <n v="2"/>
    <n v="4"/>
    <n v="4"/>
    <s v=""/>
    <s v=""/>
    <m/>
    <s v=""/>
    <n v="4"/>
    <s v="Monitoring &amp; LoggingOperationNetwork"/>
    <m/>
    <m/>
    <m/>
    <s v="x"/>
    <s v="x"/>
    <s v="x"/>
    <s v="x"/>
    <m/>
    <m/>
  </r>
  <r>
    <n v="70"/>
    <x v="0"/>
    <s v="8.11 | Audit Log Management | Conduct Audit Log Reviews (Detect) (IG2, IG3)"/>
    <s v="Conduct reviews of audit logs to detect anomalies or abnormal events that could indicate a potential threat. Conduct reviews on a weekly, or more frequent, basis."/>
    <s v="Detect"/>
    <m/>
    <s v="x"/>
    <s v="x"/>
    <s v="No"/>
    <s v="No"/>
    <s v="No"/>
    <s v="No"/>
    <s v="Yes"/>
    <n v="1"/>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Audit logs are continuously reviewed by the Security Operations Team and Alert Logic MDR services."/>
    <s v="No gaps identified."/>
    <s v="Failure to conduct regular audit log reviews may lead to undetected anomalies and potential security incidents."/>
    <n v="2"/>
    <n v="4"/>
    <s v="Foreseeable, not expected"/>
    <n v="2"/>
    <n v="2"/>
    <n v="2"/>
    <n v="2"/>
    <n v="2"/>
    <n v="4"/>
    <n v="4"/>
    <n v="9"/>
    <n v="4"/>
    <s v="Hacking System"/>
    <n v="4"/>
    <s v="Accept"/>
    <s v=""/>
    <s v=""/>
    <m/>
    <s v=""/>
    <s v="Hacking System"/>
    <n v="2"/>
    <n v="4"/>
    <s v="Foreseeable, not expected"/>
    <n v="2"/>
    <n v="2"/>
    <n v="2"/>
    <n v="2"/>
    <n v="2"/>
    <n v="4"/>
    <n v="4"/>
    <s v=""/>
    <s v=""/>
    <m/>
    <s v=""/>
    <n v="4"/>
    <s v="Monitoring &amp; LoggingOperationNetwork"/>
    <m/>
    <m/>
    <m/>
    <s v="x"/>
    <m/>
    <m/>
    <m/>
    <m/>
    <m/>
  </r>
  <r>
    <n v="71"/>
    <x v="0"/>
    <s v="8.12 | Audit Log Management | Collect Service Provider Logs (Detect) (IG3)"/>
    <s v="Collect service provider logs, where supported. Example implementations include collecting authentication and authorization events, data creation and disposal events, and user management events."/>
    <s v="Detect"/>
    <m/>
    <m/>
    <s v="x"/>
    <s v="No"/>
    <s v="No"/>
    <s v="No"/>
    <s v="No"/>
    <s v="Yes"/>
    <n v="1"/>
    <x v="6"/>
    <x v="1"/>
    <x v="3"/>
    <s v="Data"/>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Service provider logs are collected depending on the vendor and capabilities. Some services and vendors that may cause a negative impact may not be currently collected."/>
    <s v="Some service provider logs are not collected."/>
    <s v="Failure to collect service provider logs may lead to incomplete monitoring and potential undetected threats from third-party services."/>
    <n v="2"/>
    <n v="2"/>
    <s v="Common"/>
    <n v="4"/>
    <n v="2"/>
    <n v="2"/>
    <n v="2"/>
    <n v="2"/>
    <n v="8"/>
    <n v="8"/>
    <n v="9"/>
    <n v="2"/>
    <s v="Personnel Error"/>
    <n v="8"/>
    <s v="Accept"/>
    <s v=""/>
    <s v=""/>
    <m/>
    <s v=""/>
    <s v="Personnel Error"/>
    <n v="2"/>
    <n v="2"/>
    <s v="Common"/>
    <n v="4"/>
    <n v="2"/>
    <n v="2"/>
    <n v="2"/>
    <n v="2"/>
    <n v="8"/>
    <n v="8"/>
    <s v=""/>
    <s v=""/>
    <m/>
    <s v=""/>
    <n v="8"/>
    <s v="Monitoring &amp; LoggingOperationData"/>
    <m/>
    <m/>
    <m/>
    <s v="x"/>
    <m/>
    <m/>
    <m/>
    <m/>
    <m/>
  </r>
  <r>
    <n v="72"/>
    <x v="0"/>
    <s v="9.1 | Email and Web Browser Protections | Ensure Use of Only Fully Supported Browsers and Email Clients (Protect) (IG1, IG2, IG3)"/>
    <s v="Ensure only fully supported browsers and email clients are allowed to execute in the enterprise, only using the latest version of browsers and email clients provided through the vendor."/>
    <s v="Protect"/>
    <s v="x"/>
    <s v="x"/>
    <s v="x"/>
    <s v="Yes"/>
    <s v="Yes"/>
    <s v="Yes"/>
    <s v="No"/>
    <s v="No"/>
    <n v="3"/>
    <x v="10"/>
    <x v="1"/>
    <x v="0"/>
    <s v="Applications"/>
    <s v="PR.DS-5 | Data Security  - Protections against data leaks are implemented_x000a_PR.DS-6 | Data Security  - Integrity checking mechanisms are used to verify software, firmware, and information integrity_x000a_"/>
    <s v="Applications may expose to attackers avoidable vectors into application functionality, or sensitive data."/>
    <s v="Attackers may compromise systems or information by exploiting avoidable vulnerabilities. _x000a__x000a_Some applications may be compromised by taking advantage of vulnerabilities that are created over the lifecycle of application maintenance."/>
    <s v="Only fully supported browsers (Edge and Chrome) and email clients (Outlook) are allowed. The Office Store is disabled but browser extensions are still usable. Proactive remediation script for Firefox runs daily. Default mail client is disabled."/>
    <s v="Browser extensions are still usable despite Office Store being disabled."/>
    <s v="Allowing browser extensions may expose the enterprise to security vulnerabilities and malicious extensions."/>
    <n v="3"/>
    <n v="2"/>
    <s v="Common"/>
    <n v="4"/>
    <n v="2"/>
    <n v="2"/>
    <n v="3"/>
    <n v="3"/>
    <n v="12"/>
    <n v="12"/>
    <n v="9"/>
    <n v="2"/>
    <s v="Physical Facility"/>
    <n v="12"/>
    <s v="Manage"/>
    <s v="Implement Information Security Application Management"/>
    <s v="Establish, manage and validate operational activities for Application Management including:_x000a_ * ensure secure configuration of systems based on internal and vendor guidance;_x000a_ * reporting of Application Management performance metrics_x000a_"/>
    <s v="Restrict browser extensions to those explicitly approved and necessary for business operations, ensuring all other extensions are disabled to minimize security risks."/>
    <s v="Estimated Start - TBD_x000a_Estimated Completion - TBD_x000a_-----_x000a_"/>
    <s v="Physical Facility"/>
    <n v="3"/>
    <n v="4"/>
    <s v="Foreseeable, not expected"/>
    <n v="2"/>
    <n v="2"/>
    <n v="2"/>
    <n v="3"/>
    <n v="3"/>
    <n v="6"/>
    <n v="6"/>
    <s v="Pending"/>
    <s v="TBD"/>
    <m/>
    <s v=""/>
    <n v="12"/>
    <s v="Application ManagementOperationApplications"/>
    <s v="x"/>
    <m/>
    <m/>
    <m/>
    <m/>
    <m/>
    <m/>
    <m/>
    <m/>
  </r>
  <r>
    <n v="73"/>
    <x v="0"/>
    <s v="9.2 | Email and Web Browser Protections | Use DNS Filtering Services (Protect) (IG1, IG2, IG3)"/>
    <s v="Use DNS filtering services on all enterprise assets to block access to known malicious domains."/>
    <s v="Protect"/>
    <s v="x"/>
    <s v="x"/>
    <s v="x"/>
    <s v="Yes"/>
    <s v="Yes"/>
    <s v="No"/>
    <s v="No"/>
    <s v="Yes"/>
    <n v="3"/>
    <x v="8"/>
    <x v="1"/>
    <x v="0"/>
    <s v="Network"/>
    <s v="N/A"/>
    <s v="Network devices may provide vulnerabilities to attackers and malware, exposing system integrity, availability, or confidentiality of data."/>
    <s v="Hackers and malware may compromise the network by taking advantage of avoidable vulnerabilities._x000a__x000a_"/>
    <s v="DNS filtering services are implemented on-site at the firewall level and through Netskope for remote access, reporting alerts to Artic Wolf for continuous monitoring. Azure DNS is used for public DNS, while internal DNS is managed on Microsoft DNS servers."/>
    <s v="No gaps identified."/>
    <s v="Failure to use DNS filtering services may result in increased exposure to malicious domains."/>
    <n v="3"/>
    <n v="4"/>
    <s v="Foreseeable, not expected"/>
    <n v="2"/>
    <n v="2"/>
    <n v="2"/>
    <n v="3"/>
    <n v="3"/>
    <n v="6"/>
    <n v="6"/>
    <n v="9"/>
    <n v="4"/>
    <s v="Physical Facility"/>
    <n v="6"/>
    <s v="Accept"/>
    <s v=""/>
    <s v=""/>
    <m/>
    <s v=""/>
    <s v="Physical Facility"/>
    <n v="3"/>
    <n v="4"/>
    <s v="Foreseeable, not expected"/>
    <n v="2"/>
    <n v="2"/>
    <n v="2"/>
    <n v="3"/>
    <n v="3"/>
    <n v="6"/>
    <n v="6"/>
    <s v=""/>
    <s v=""/>
    <m/>
    <s v=""/>
    <n v="6"/>
    <s v="Network Device ManagementOperationNetwork"/>
    <s v="x"/>
    <m/>
    <m/>
    <m/>
    <m/>
    <m/>
    <m/>
    <m/>
    <m/>
  </r>
  <r>
    <n v="74"/>
    <x v="0"/>
    <s v="9.3 | Email and Web Browser Protections | Maintain and Enforce Network-Based URL Filters (Protect) (IG2, IG3)"/>
    <s v="Enforce and update network-based URL filters to limit an enterprise asset from connecting to potentially malicious or unapproved websites. Example implementations include category-based filtering, reputation-based filtering, or through the use of block lists. Enforce filters for all enterprise assets."/>
    <s v="Protect"/>
    <m/>
    <s v="x"/>
    <s v="x"/>
    <s v="Yes"/>
    <s v="Yes"/>
    <s v="Yes"/>
    <s v="Yes"/>
    <s v="Yes"/>
    <n v="5"/>
    <x v="8"/>
    <x v="1"/>
    <x v="1"/>
    <s v="Network"/>
    <s v="N/A"/>
    <s v="Network devices may provide vulnerabilities to attackers and malware, exposing system integrity, availability, or confidentiality of data."/>
    <s v="Hackers and malware may compromise the network by taking advantage of avoidable vulnerabilities._x000a__x000a_"/>
    <s v="Network-based URL filters are enforced and updated regularly. Netskope provides URL filtering for remote access, with alerts reported to Artic Wolf. Daily reports are generated for users accessing banned categories."/>
    <s v="No gaps identified."/>
    <s v="Failure to maintain and enforce URL filters may allow access to malicious or unapproved websites, increasing the risk of security incidents."/>
    <n v="2"/>
    <n v="4"/>
    <s v="Foreseeable, not expected"/>
    <n v="2"/>
    <n v="2"/>
    <n v="2"/>
    <n v="3"/>
    <n v="3"/>
    <n v="6"/>
    <n v="6"/>
    <n v="9"/>
    <n v="4"/>
    <s v="Hacking System"/>
    <n v="6"/>
    <s v="Accept"/>
    <s v=""/>
    <s v=""/>
    <m/>
    <s v=""/>
    <s v="Hacking System"/>
    <n v="2"/>
    <n v="4"/>
    <s v="Foreseeable, not expected"/>
    <n v="2"/>
    <n v="2"/>
    <n v="2"/>
    <n v="3"/>
    <n v="3"/>
    <n v="6"/>
    <n v="6"/>
    <s v=""/>
    <s v=""/>
    <m/>
    <s v=""/>
    <n v="6"/>
    <s v="Network Device ManagementOperationNetwork"/>
    <m/>
    <m/>
    <s v="x"/>
    <m/>
    <m/>
    <m/>
    <m/>
    <s v="x"/>
    <m/>
  </r>
  <r>
    <n v="75"/>
    <x v="0"/>
    <s v="9.4 | Email and Web Browser Protections | Restrict Unnecessary or Unauthorized Browser and Email Client Extensions (Protect) (IG2, IG3)"/>
    <s v="Restrict, either through uninstalling or disabling, any unauthorized or unnecessary browser or email client plugins, extensions, and add-on applications."/>
    <s v="Protect"/>
    <m/>
    <s v="x"/>
    <s v="x"/>
    <s v="Yes"/>
    <s v="Yes"/>
    <s v="Yes"/>
    <s v="No"/>
    <s v="No"/>
    <n v="3"/>
    <x v="7"/>
    <x v="1"/>
    <x v="1"/>
    <s v="Application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Unnecessary or unauthorized browser and email client extensions are restricted. Roam environment is locked down, requiring requests to add extensions. Laptops allow users to use extensions but have controls to prevent installing side extensions, requiring downloads through the official store."/>
    <s v="Allowing some browser extensions on laptops may introduce security risks."/>
    <s v="Unrestricted browser extensions on laptops may lead to the installation of malicious or unauthorized extensions, posing security risks."/>
    <n v="2"/>
    <n v="2"/>
    <s v="Common"/>
    <n v="4"/>
    <n v="2"/>
    <n v="2"/>
    <n v="3"/>
    <n v="3"/>
    <n v="12"/>
    <n v="12"/>
    <n v="9"/>
    <n v="2"/>
    <s v="Hacking System"/>
    <n v="12"/>
    <s v="Manage"/>
    <s v="Implement Information Security Systems Management"/>
    <s v="Establish, manage and validate operational activities for Systems Management including:_x000a_ * ensure hardening/protection of systems based on internal and vendor guidance;_x000a_ * reporting of Systems performance metrics_x000a_"/>
    <s v="Enforce stricter controls on laptop browser extensions, allowing only pre-approved extensions to be installed through the official store."/>
    <s v="Estimated Start - TBD_x000a_Estimated Completion - TBD_x000a_-----_x000a_"/>
    <s v="Hacking System"/>
    <n v="2"/>
    <n v="4"/>
    <s v="Foreseeable, not expected"/>
    <n v="2"/>
    <n v="2"/>
    <n v="2"/>
    <n v="3"/>
    <n v="3"/>
    <n v="6"/>
    <n v="6"/>
    <s v="Pending"/>
    <s v="TBD"/>
    <m/>
    <s v=""/>
    <n v="12"/>
    <s v="System ManagementOperationApplications"/>
    <s v="x"/>
    <m/>
    <m/>
    <m/>
    <m/>
    <m/>
    <m/>
    <m/>
    <m/>
  </r>
  <r>
    <n v="76"/>
    <x v="0"/>
    <s v="9.5 | Email and Web Browser Protections | Implement DMARC (Protect) (IG2, IG3)"/>
    <s v="To lower the chance of spoofed or modified emails from valid domains, implement DMARC policy and verification, starting with implementing the Sender Policy Framework (SPF) and the DomainKeys Identified Mail (DKIM) standards."/>
    <s v="Protect"/>
    <m/>
    <s v="x"/>
    <s v="x"/>
    <s v="No"/>
    <s v="No"/>
    <s v="No"/>
    <s v="No"/>
    <s v="Yes"/>
    <n v="1"/>
    <x v="5"/>
    <x v="1"/>
    <x v="1"/>
    <s v="Network"/>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DMARC policy and verification are in progress. Initial steps include implementing the Sender Policy Framework (SPF) and DomainKeys Identified Mail (DKIM) standards."/>
    <s v="DMARC policy and verification are not fully implemented."/>
    <s v="Lack of full DMARC implementation may result in higher susceptibility to email spoofing and phishing attacks."/>
    <n v="2"/>
    <n v="2"/>
    <s v="Common"/>
    <n v="4"/>
    <n v="2"/>
    <n v="2"/>
    <n v="3"/>
    <n v="3"/>
    <n v="12"/>
    <n v="12"/>
    <n v="9"/>
    <n v="2"/>
    <s v="Hacking System"/>
    <n v="12"/>
    <s v="Manage"/>
    <s v="Implement Information Security Network Architecture"/>
    <s v="Establish, manage and validate operational activities for Secure Network Architecture including:_x000a_ * training Network Engineering resources;_x000a_ * incorporating Secure Network Engineering concepts, techniques, and compliance obligations in architecture and support initiatives;_x000a_ * enforcing Secure Network Architecture requirements when outsourcing network engineering and support;_x000a_ * include Secure Network Architecture procedures in the System Development Lifecycle (SDLC), during initiation, design, development, testing, production migration, and support;_x000a_ * reporting of Secure Network Architecture performance metrics_x000a_"/>
    <s v="Complete the implementation of DMARC by fully configuring SPF and DKIM, and enforce DMARC policy to prevent email spoofing and improve email security."/>
    <s v="Estimated Start - TBD_x000a_Estimated Completion - TBD_x000a_-----_x000a_"/>
    <s v="Hacking System"/>
    <n v="2"/>
    <n v="4"/>
    <s v="Foreseeable, not expected"/>
    <n v="2"/>
    <n v="2"/>
    <n v="2"/>
    <n v="3"/>
    <n v="3"/>
    <n v="6"/>
    <n v="6"/>
    <s v="Pending"/>
    <s v="TBD"/>
    <m/>
    <s v=""/>
    <n v="12"/>
    <s v="Network ArchitectureOperationNetwork"/>
    <m/>
    <m/>
    <s v="x"/>
    <m/>
    <m/>
    <m/>
    <m/>
    <m/>
    <m/>
  </r>
  <r>
    <n v="77"/>
    <x v="0"/>
    <s v="9.6 | Email and Web Browser Protections | Block Unnecessary File Types (Protect) (IG2, IG3)"/>
    <s v="Block unnecessary file types attempting to enter the enterprise’s email gateway."/>
    <s v="Protect"/>
    <m/>
    <s v="x"/>
    <s v="x"/>
    <s v="Yes"/>
    <s v="Yes"/>
    <s v="Yes"/>
    <s v="Yes"/>
    <s v="Yes"/>
    <n v="5"/>
    <x v="5"/>
    <x v="1"/>
    <x v="6"/>
    <s v="Network"/>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Unnecessary file types are blocked using CrowdStrike AV, which also performs continuous anti-malware scans. Email server uses Proofpoint for additional anti-malware protections."/>
    <s v="No gaps identified."/>
    <s v="Failure to block unnecessary file types may allow malicious files to enter the enterprise’s email system, increasing the risk of malware infections."/>
    <n v="1"/>
    <n v="4"/>
    <s v="Not Foreseeable"/>
    <n v="1"/>
    <n v="2"/>
    <n v="2"/>
    <n v="3"/>
    <n v="3"/>
    <n v="3"/>
    <n v="3"/>
    <n v="9"/>
    <n v="4"/>
    <s v="Malware"/>
    <n v="3"/>
    <s v="Accept"/>
    <s v=""/>
    <s v=""/>
    <m/>
    <s v=""/>
    <s v="Malware"/>
    <n v="1"/>
    <n v="4"/>
    <s v="Not Foreseeable"/>
    <n v="1"/>
    <n v="2"/>
    <n v="2"/>
    <n v="3"/>
    <n v="3"/>
    <n v="3"/>
    <n v="3"/>
    <s v=""/>
    <s v=""/>
    <m/>
    <s v=""/>
    <n v="3"/>
    <s v="Network ArchitectureOperationNetwork"/>
    <m/>
    <m/>
    <s v="x"/>
    <m/>
    <m/>
    <m/>
    <m/>
    <m/>
    <m/>
  </r>
  <r>
    <n v="78"/>
    <x v="0"/>
    <s v="9.7 | Email and Web Browser Protections | Deploy and Maintain Email Server Anti-Malware Protections (Protect) (IG3)"/>
    <s v="Deploy and maintain email server anti-malware protections, such as attachment scanning and/or sandboxing."/>
    <s v="Protect"/>
    <m/>
    <m/>
    <s v="x"/>
    <s v="Yes"/>
    <s v="Yes"/>
    <s v="Yes"/>
    <s v="Yes"/>
    <s v="Yes"/>
    <n v="5"/>
    <x v="1"/>
    <x v="1"/>
    <x v="1"/>
    <s v="Network"/>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Email server anti-malware protections are maintained using Proofpoint for attachment scanning and sandboxing. Additional anti-malware measures are provided by CrowdStrike."/>
    <s v="No gaps identified."/>
    <s v="Failure to deploy and maintain email server anti-malware protections may result in undetected malware infections from email attachments."/>
    <n v="2"/>
    <n v="4"/>
    <s v="Foreseeable, not expected"/>
    <n v="2"/>
    <n v="2"/>
    <n v="2"/>
    <n v="3"/>
    <n v="3"/>
    <n v="6"/>
    <n v="6"/>
    <n v="9"/>
    <n v="4"/>
    <s v="Hacking System"/>
    <n v="6"/>
    <s v="Accept"/>
    <s v=""/>
    <s v=""/>
    <m/>
    <s v=""/>
    <s v="Hacking System"/>
    <n v="2"/>
    <n v="4"/>
    <s v="Foreseeable, not expected"/>
    <n v="2"/>
    <n v="2"/>
    <n v="2"/>
    <n v="3"/>
    <n v="3"/>
    <n v="6"/>
    <n v="6"/>
    <s v=""/>
    <s v=""/>
    <m/>
    <s v=""/>
    <n v="6"/>
    <s v="Vulnerability ManagementOperationNetwork"/>
    <m/>
    <m/>
    <s v="x"/>
    <m/>
    <m/>
    <m/>
    <m/>
    <m/>
    <m/>
  </r>
  <r>
    <n v="79"/>
    <x v="0"/>
    <s v="10.1 | Malware Defenses | Deploy and Maintain Anti-Malware Software (Protect) (IG1, IG2, IG3)"/>
    <s v="Deploy and maintain anti-malware software on all enterprise assets."/>
    <s v="Protect_x000a_Detect_x000a_Respond"/>
    <s v="x"/>
    <s v="x"/>
    <s v="x"/>
    <s v="Yes"/>
    <s v="Yes"/>
    <s v="Yes"/>
    <s v="Yes"/>
    <s v="Yes"/>
    <n v="5"/>
    <x v="1"/>
    <x v="1"/>
    <x v="6"/>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Crowdstrike is deployed and maintained on all enterprise endpoints, servers, and applicable devices. Crowdstrike provides anti-malware protection and behavior monitoring."/>
    <s v="No gaps identified."/>
    <s v="Failure to deploy and maintain anti-malware software may lead to increased vulnerability to malware infections."/>
    <n v="1"/>
    <n v="5"/>
    <s v="Not Foreseeable"/>
    <n v="1"/>
    <n v="2"/>
    <n v="2"/>
    <n v="3"/>
    <n v="3"/>
    <n v="3"/>
    <n v="3"/>
    <n v="9"/>
    <n v="5"/>
    <s v="Malware"/>
    <n v="3"/>
    <s v="Accept"/>
    <s v=""/>
    <s v=""/>
    <m/>
    <s v=""/>
    <s v="Malware"/>
    <n v="1"/>
    <n v="5"/>
    <s v="Not Foreseeable"/>
    <n v="1"/>
    <n v="2"/>
    <n v="2"/>
    <n v="3"/>
    <n v="3"/>
    <n v="3"/>
    <n v="3"/>
    <s v=""/>
    <s v=""/>
    <m/>
    <s v=""/>
    <n v="3"/>
    <s v="Vulnerability ManagementOperationDevices"/>
    <m/>
    <m/>
    <m/>
    <s v="x"/>
    <m/>
    <m/>
    <s v="x"/>
    <s v="x"/>
    <m/>
  </r>
  <r>
    <n v="80"/>
    <x v="0"/>
    <s v="10.2 | Malware Defenses | Configure Automatic Anti-Malware Signature Updates (Protect) (IG1, IG2, IG3)"/>
    <s v="Configure automatic updates for anti-malware signature files on all enterprise assets."/>
    <s v="Protect_x000a_Detect_x000a_Respond"/>
    <s v="x"/>
    <s v="x"/>
    <s v="x"/>
    <s v="Yes"/>
    <s v="Yes"/>
    <s v="Yes"/>
    <s v="Yes"/>
    <s v="Yes"/>
    <n v="5"/>
    <x v="1"/>
    <x v="1"/>
    <x v="6"/>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nti-malware signature updates are configured to occur automatically on all enterprise assets through Crowdstrike."/>
    <s v="No gaps identified."/>
    <s v="Failure to configure automatic anti-malware signature updates may result in outdated protections and increased vulnerability to malware."/>
    <n v="1"/>
    <n v="5"/>
    <s v="Not Foreseeable"/>
    <n v="1"/>
    <n v="2"/>
    <n v="2"/>
    <n v="2"/>
    <n v="2"/>
    <n v="2"/>
    <n v="2"/>
    <n v="9"/>
    <n v="5"/>
    <s v="Malware"/>
    <n v="2"/>
    <s v="Accept"/>
    <s v=""/>
    <s v=""/>
    <m/>
    <s v=""/>
    <s v="Malware"/>
    <n v="1"/>
    <n v="5"/>
    <s v="Not Foreseeable"/>
    <n v="1"/>
    <n v="2"/>
    <n v="2"/>
    <n v="2"/>
    <n v="2"/>
    <n v="2"/>
    <n v="2"/>
    <s v=""/>
    <s v=""/>
    <m/>
    <s v=""/>
    <n v="2"/>
    <s v="Vulnerability ManagementOperationDevices"/>
    <m/>
    <m/>
    <m/>
    <s v="x"/>
    <m/>
    <m/>
    <s v="x"/>
    <s v="x"/>
    <m/>
  </r>
  <r>
    <n v="81"/>
    <x v="0"/>
    <s v="10.3 | Malware Defenses | Disable Autorun and Autoplay for Removable Media (Protect) (IG1, IG2, IG3)"/>
    <s v="Disable autorun and autoplay auto-execute functionality for removable media."/>
    <s v="Protect_x000a_Detect_x000a_Respond"/>
    <s v="x"/>
    <s v="x"/>
    <s v="x"/>
    <s v="Yes"/>
    <s v="Yes"/>
    <s v="Yes"/>
    <s v="Yes"/>
    <s v="No"/>
    <n v="4"/>
    <x v="1"/>
    <x v="1"/>
    <x v="0"/>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utorun and autoplay functionalities for removable media are disabled across the enterprise to prevent automatic execution of potentially malicious files."/>
    <s v="No gaps identified."/>
    <s v="Failure to disable autorun and autoplay may allow automatic execution of malicious files from removable media, increasing the risk of infections."/>
    <n v="3"/>
    <n v="5"/>
    <s v="Not Foreseeable"/>
    <n v="1"/>
    <n v="2"/>
    <n v="2"/>
    <n v="2"/>
    <n v="2"/>
    <n v="2"/>
    <n v="2"/>
    <n v="9"/>
    <n v="5"/>
    <s v="Physical Facility"/>
    <n v="2"/>
    <s v="Accept"/>
    <s v=""/>
    <s v=""/>
    <m/>
    <s v=""/>
    <s v="Physical Facility"/>
    <n v="3"/>
    <n v="5"/>
    <s v="Not Foreseeable"/>
    <n v="1"/>
    <n v="2"/>
    <n v="2"/>
    <n v="2"/>
    <n v="2"/>
    <n v="2"/>
    <n v="2"/>
    <s v=""/>
    <s v=""/>
    <m/>
    <s v=""/>
    <n v="2"/>
    <s v="Vulnerability ManagementOperationDevices"/>
    <m/>
    <m/>
    <m/>
    <s v="x"/>
    <m/>
    <m/>
    <s v="x"/>
    <s v="x"/>
    <m/>
  </r>
  <r>
    <n v="82"/>
    <x v="0"/>
    <s v="10.4 | Malware Defenses | Configure Automatic Anti-Malware Scanning of Removable Media (Detect) (IG2, IG3)"/>
    <s v="Configure anti-malware software to automatically scan removable media."/>
    <s v="Detect"/>
    <m/>
    <s v="x"/>
    <s v="x"/>
    <s v="No"/>
    <s v="No"/>
    <s v="No"/>
    <s v="No"/>
    <s v="No"/>
    <n v="0"/>
    <x v="1"/>
    <x v="1"/>
    <x v="6"/>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nti-malware software is configured to automatically scan removable media upon insertion, utilizing Crowdstrike to perform the scans."/>
    <s v="No gaps identified."/>
    <s v="Failure to automatically scan removable media may allow malware to enter the enterprise network undetected."/>
    <n v="1"/>
    <n v="5"/>
    <s v="Not Foreseeable"/>
    <n v="1"/>
    <n v="2"/>
    <n v="2"/>
    <n v="2"/>
    <n v="2"/>
    <n v="2"/>
    <n v="2"/>
    <n v="9"/>
    <n v="5"/>
    <s v="Malware"/>
    <n v="2"/>
    <s v="Accept"/>
    <s v=""/>
    <s v=""/>
    <m/>
    <s v=""/>
    <s v="Malware"/>
    <n v="1"/>
    <n v="5"/>
    <s v="Not Foreseeable"/>
    <n v="1"/>
    <n v="2"/>
    <n v="2"/>
    <n v="2"/>
    <n v="2"/>
    <n v="2"/>
    <n v="2"/>
    <s v=""/>
    <s v=""/>
    <m/>
    <s v=""/>
    <n v="2"/>
    <s v="Vulnerability ManagementOperationDevices"/>
    <m/>
    <m/>
    <m/>
    <m/>
    <m/>
    <m/>
    <m/>
    <m/>
    <m/>
  </r>
  <r>
    <n v="83"/>
    <x v="0"/>
    <s v="10.5 | Malware Defenses | Enable Anti-Exploitation Features (Protect) (IG2, IG3)"/>
    <s v="Enable anti-exploitation features on enterprise assets and software, where possible, such as Microsoft® Data Execution Prevention (DEP), Windows® Defender Exploit Guard (WDEG), or Apple® System Integrity Protection (SIP) and Gatekeeper™."/>
    <s v="Protect_x000a_Detect_x000a_Respond"/>
    <m/>
    <s v="x"/>
    <s v="x"/>
    <s v="Yes"/>
    <s v="Yes"/>
    <s v="Yes"/>
    <s v="Yes"/>
    <s v="Yes"/>
    <n v="5"/>
    <x v="1"/>
    <x v="1"/>
    <x v="0"/>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nti-exploitation features such as Data Execution Prevention (DEP) and Windows Defender Exploit Guard (WDEG) are enabled on applicable enterprise assets."/>
    <s v="No gaps identified."/>
    <s v="Failure to enable anti-exploitation features may leave enterprise assets vulnerable to exploitation and attacks."/>
    <n v="3"/>
    <n v="5"/>
    <s v="Not Foreseeable"/>
    <n v="1"/>
    <n v="2"/>
    <n v="2"/>
    <n v="2"/>
    <n v="2"/>
    <n v="2"/>
    <n v="2"/>
    <n v="9"/>
    <n v="5"/>
    <s v="Physical Facility"/>
    <n v="2"/>
    <s v="Accept"/>
    <s v=""/>
    <s v=""/>
    <m/>
    <s v=""/>
    <s v="Physical Facility"/>
    <n v="3"/>
    <n v="5"/>
    <s v="Not Foreseeable"/>
    <n v="1"/>
    <n v="2"/>
    <n v="2"/>
    <n v="2"/>
    <n v="2"/>
    <n v="2"/>
    <n v="2"/>
    <s v=""/>
    <s v=""/>
    <m/>
    <s v=""/>
    <n v="2"/>
    <s v="Vulnerability ManagementOperationDevices"/>
    <m/>
    <m/>
    <m/>
    <s v="x"/>
    <m/>
    <m/>
    <s v="x"/>
    <s v="x"/>
    <m/>
  </r>
  <r>
    <n v="84"/>
    <x v="0"/>
    <s v="10.6 | Malware Defenses | Centrally Manage Anti-Malware Software (Protect) (IG2, IG3)"/>
    <s v="Centrally manage anti-malware software."/>
    <s v="Protect"/>
    <m/>
    <s v="x"/>
    <s v="x"/>
    <s v="No"/>
    <s v="No"/>
    <s v="No"/>
    <s v="No"/>
    <s v="No"/>
    <n v="0"/>
    <x v="1"/>
    <x v="1"/>
    <x v="6"/>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Anti-malware software, including Crowdstrike, is centrally managed through SCCM and Intune, ensuring consistent deployment and management across all devices."/>
    <s v="No gaps identified."/>
    <s v="Failure to centrally manage anti-malware software may lead to inconsistent protection and increased risk of malware infections."/>
    <n v="1"/>
    <n v="4"/>
    <s v="Not Foreseeable"/>
    <n v="1"/>
    <n v="2"/>
    <n v="2"/>
    <n v="2"/>
    <n v="2"/>
    <n v="2"/>
    <n v="2"/>
    <n v="9"/>
    <n v="4"/>
    <s v="Malware"/>
    <n v="2"/>
    <s v="Accept"/>
    <s v=""/>
    <s v=""/>
    <m/>
    <s v=""/>
    <s v="Malware"/>
    <n v="1"/>
    <n v="4"/>
    <s v="Not Foreseeable"/>
    <n v="1"/>
    <n v="2"/>
    <n v="2"/>
    <n v="2"/>
    <n v="2"/>
    <n v="2"/>
    <n v="2"/>
    <s v=""/>
    <s v=""/>
    <m/>
    <s v=""/>
    <n v="2"/>
    <s v="Vulnerability ManagementOperationDevices"/>
    <m/>
    <m/>
    <m/>
    <m/>
    <m/>
    <m/>
    <m/>
    <m/>
    <m/>
  </r>
  <r>
    <n v="85"/>
    <x v="0"/>
    <s v="10.7 | Malware Defenses | Use Behavior-Based Anti-Malware Software (Detect) (IG2, IG3)"/>
    <s v="Use behavior-based anti-malware software."/>
    <s v="Protect_x000a_Detect_x000a_Respond"/>
    <m/>
    <s v="x"/>
    <s v="x"/>
    <s v="Yes"/>
    <s v="Yes"/>
    <s v="Yes"/>
    <s v="Yes"/>
    <s v="Yes"/>
    <n v="5"/>
    <x v="1"/>
    <x v="1"/>
    <x v="6"/>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Behavior-based anti-malware software is utilized, specifically Crowdstrike, which monitors and responds to abnormal behaviors indicative of malware."/>
    <s v="No gaps identified."/>
    <s v="Failure to use behavior-based anti-malware software may result in undetected advanced malware threats."/>
    <n v="1"/>
    <n v="5"/>
    <s v="Not Foreseeable"/>
    <n v="1"/>
    <n v="2"/>
    <n v="2"/>
    <n v="3"/>
    <n v="3"/>
    <n v="3"/>
    <n v="3"/>
    <n v="9"/>
    <n v="5"/>
    <s v="Malware"/>
    <n v="3"/>
    <s v="Accept"/>
    <s v=""/>
    <s v=""/>
    <m/>
    <s v=""/>
    <s v="Malware"/>
    <n v="1"/>
    <n v="5"/>
    <s v="Not Foreseeable"/>
    <n v="1"/>
    <n v="2"/>
    <n v="2"/>
    <n v="3"/>
    <n v="3"/>
    <n v="3"/>
    <n v="3"/>
    <s v=""/>
    <s v=""/>
    <m/>
    <s v=""/>
    <n v="3"/>
    <s v="Vulnerability ManagementOperationDevices"/>
    <m/>
    <m/>
    <m/>
    <s v="x"/>
    <m/>
    <m/>
    <s v="x"/>
    <s v="x"/>
    <s v="x"/>
  </r>
  <r>
    <n v="86"/>
    <x v="0"/>
    <s v="11.1 | Data Recovery | Establish and Maintain a Data Recovery Process (Recover) (IG1, IG2, IG3)"/>
    <s v="Establish and maintain a data recovery process. In the process, address the scope of data recovery activities, recovery prioritization, and the security of backup data. Review and update documentation annually, or when significant enterprise changes occur that could impact this Safeguard. "/>
    <s v="Recover"/>
    <s v="x"/>
    <s v="x"/>
    <s v="x"/>
    <s v="Yes"/>
    <s v="Yes"/>
    <s v="No"/>
    <s v="Yes"/>
    <s v="Yes"/>
    <n v="4"/>
    <x v="11"/>
    <x v="0"/>
    <x v="7"/>
    <s v="Data"/>
    <s v="ID.BE-4 | Business Environment  - Dependencies and critical functions for delivery of critical services are established_x000a_ID.BE-5 | Business Environment  - Resilience requirements to support delivery of critical services are established_x000a_"/>
    <s v="Management may not understand expectations for recovery requirements and processes during a continuity event/disaster."/>
    <s v="Errors while recovering information systems may lead to loss of business data and may impact availability."/>
    <s v="Microsoft products, NetApp, and core banking systems are backed up using the higher tiers of Azure Backups as well as Rubric, with Nutanix systems in place for replication. "/>
    <s v="No gaps identified."/>
    <s v="Failure to establish and maintain a data recovery process may lead to data loss and extended downtime in the event of a disaster."/>
    <n v="1"/>
    <n v="4"/>
    <s v="Not Foreseeable"/>
    <n v="1"/>
    <n v="2"/>
    <n v="2"/>
    <n v="3"/>
    <n v="3"/>
    <n v="3"/>
    <n v="3"/>
    <n v="9"/>
    <n v="4"/>
    <s v="System Failure"/>
    <n v="3"/>
    <s v="Accept"/>
    <s v=""/>
    <s v=""/>
    <m/>
    <s v=""/>
    <s v="System Failure"/>
    <n v="1"/>
    <n v="4"/>
    <s v="Not Foreseeable"/>
    <n v="1"/>
    <n v="2"/>
    <n v="2"/>
    <n v="3"/>
    <n v="3"/>
    <n v="3"/>
    <n v="3"/>
    <s v=""/>
    <s v=""/>
    <m/>
    <s v=""/>
    <n v="3"/>
    <s v="BC/DRGovernanceData"/>
    <m/>
    <m/>
    <m/>
    <m/>
    <m/>
    <m/>
    <m/>
    <m/>
    <s v="x"/>
  </r>
  <r>
    <n v="87"/>
    <x v="0"/>
    <s v="11.2 | Data Recovery | Perform Automated Backups (Recover) (IG1, IG2, IG3)"/>
    <s v="Perform automated backups of in-scope enterprise assets. Run backups weekly, or more frequently, based on the sensitivity of the data."/>
    <s v="Recover"/>
    <s v="x"/>
    <s v="x"/>
    <s v="x"/>
    <s v="Yes"/>
    <s v="Yes"/>
    <s v="No"/>
    <s v="Yes"/>
    <s v="Yes"/>
    <n v="4"/>
    <x v="11"/>
    <x v="1"/>
    <x v="7"/>
    <s v="Data"/>
    <s v="PR.IP-4 | Information Protection Processes and Procedures  - Backups of information are conducted, maintained, and tested periodically_x000a_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C.CO-1 | Communications  - Public relations are managed_x000a_RC.CO-2 | Communications  - Reputation after an event is repaired_x000a_RC.CO-3 | Communications  - Recovery activities are communicated to internal stakeholders and executive and management teams_x000a_RC.IM-1 | Improvements  - Recovery plans incorporate lessons learned_x000a_RC.IM-2 | Improvements  - Recovery strategies are updated_x000a_RC.RP-1 | Recovery Planning  - Recovery plan is executed during or after an event_x000a_"/>
    <s v="Personnel may not properly recover information assets during a continuity event/disaster."/>
    <s v="Errors while recovering information systems may lead to loss of business data and may impact availability."/>
    <s v="Full backups are done periodically and incremental backups are done daily."/>
    <s v="No gaps identified."/>
    <s v="Failure to perform automated backups may result in data loss and inability to recover critical information."/>
    <n v="1"/>
    <n v="4"/>
    <s v="Not Foreseeable"/>
    <n v="1"/>
    <n v="2"/>
    <n v="2"/>
    <n v="3"/>
    <n v="3"/>
    <n v="3"/>
    <n v="3"/>
    <n v="9"/>
    <n v="4"/>
    <s v="System Failure"/>
    <n v="3"/>
    <s v="Accept"/>
    <s v=""/>
    <s v=""/>
    <m/>
    <s v=""/>
    <s v="System Failure"/>
    <n v="1"/>
    <n v="4"/>
    <s v="Not Foreseeable"/>
    <n v="1"/>
    <n v="2"/>
    <n v="2"/>
    <n v="3"/>
    <n v="3"/>
    <n v="3"/>
    <n v="3"/>
    <s v=""/>
    <s v=""/>
    <m/>
    <s v=""/>
    <n v="3"/>
    <s v="BC/DROperationData"/>
    <m/>
    <m/>
    <m/>
    <m/>
    <m/>
    <m/>
    <m/>
    <m/>
    <s v="x"/>
  </r>
  <r>
    <n v="88"/>
    <x v="0"/>
    <s v="11.3 | Data Recovery | Protect Recovery Data (Protect) (IG1, IG2, IG3)"/>
    <s v="Protect recovery data with equivalent controls to the original data. Reference encryption or data separation, based on requirements."/>
    <s v="Recover"/>
    <s v="x"/>
    <s v="x"/>
    <s v="x"/>
    <s v="Yes"/>
    <s v="Yes"/>
    <s v="Yes"/>
    <s v="Yes"/>
    <s v="Yes"/>
    <n v="5"/>
    <x v="11"/>
    <x v="1"/>
    <x v="0"/>
    <s v="Data"/>
    <s v="PR.IP-4 | Information Protection Processes and Procedures  - Backups of information are conducted, maintained, and tested periodically_x000a_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C.CO-1 | Communications  - Public relations are managed_x000a_RC.CO-2 | Communications  - Reputation after an event is repaired_x000a_RC.CO-3 | Communications  - Recovery activities are communicated to internal stakeholders and executive and management teams_x000a_RC.IM-1 | Improvements  - Recovery plans incorporate lessons learned_x000a_RC.IM-2 | Improvements  - Recovery strategies are updated_x000a_RC.RP-1 | Recovery Planning  - Recovery plan is executed during or after an event_x000a_"/>
    <s v="Personnel may not properly recover information assets during a continuity event/disaster."/>
    <s v="Errors while recovering information systems may lead to loss of business data and may impact availability."/>
    <s v="Recovery data is protected with equivalent controls to the original data, including encryption and data separation, particularly in systems like SQL databases and Azure."/>
    <s v="No gaps identified."/>
    <s v="Failure to protect recovery data with equivalent controls may lead to data breaches and unauthorized access to sensitive information."/>
    <n v="3"/>
    <n v="4"/>
    <s v="Foreseeable, not expected"/>
    <n v="2"/>
    <n v="2"/>
    <n v="2"/>
    <n v="3"/>
    <n v="3"/>
    <n v="6"/>
    <n v="6"/>
    <n v="9"/>
    <n v="4"/>
    <s v="Physical Facility"/>
    <n v="6"/>
    <s v="Accept"/>
    <s v=""/>
    <s v=""/>
    <m/>
    <s v=""/>
    <s v="Physical Facility"/>
    <n v="3"/>
    <n v="4"/>
    <s v="Foreseeable, not expected"/>
    <n v="2"/>
    <n v="2"/>
    <n v="2"/>
    <n v="3"/>
    <n v="3"/>
    <n v="6"/>
    <n v="6"/>
    <s v=""/>
    <s v=""/>
    <m/>
    <s v=""/>
    <n v="6"/>
    <s v="BC/DROperationData"/>
    <m/>
    <m/>
    <m/>
    <m/>
    <m/>
    <m/>
    <m/>
    <m/>
    <s v="x"/>
  </r>
  <r>
    <n v="89"/>
    <x v="0"/>
    <s v="11.4 | Data Recovery | Establish and Maintain an Isolated Instance of Recovery Data (Recover) (IG1, IG2, IG3)"/>
    <s v="Establish and maintain an isolated instance of recovery data. Example implementations include, version controlling backup destinations through offline, cloud, or off-site systems or services."/>
    <s v="Recover"/>
    <s v="x"/>
    <s v="x"/>
    <s v="x"/>
    <s v="Yes"/>
    <s v="Yes"/>
    <s v="Yes"/>
    <s v="Yes"/>
    <s v="Yes"/>
    <n v="5"/>
    <x v="11"/>
    <x v="0"/>
    <x v="7"/>
    <s v="Data"/>
    <s v="ID.BE-4 | Business Environment  - Dependencies and critical functions for delivery of critical services are established_x000a_ID.BE-5 | Business Environment  - Resilience requirements to support delivery of critical services are established_x000a_"/>
    <s v="Management may not understand expectations for recovery requirements and processes during a continuity event/disaster."/>
    <s v="Errors while recovering information systems may lead to loss of business data and may impact availability."/>
    <s v="There are instances of airgapped backups that are airgapped in Azure."/>
    <s v="No gaps identified."/>
    <s v="Failure to maintain an isolated instance of recovery data may result in data loss or corruption during a cyber attack."/>
    <n v="1"/>
    <n v="4"/>
    <s v="Not Foreseeable"/>
    <n v="1"/>
    <n v="2"/>
    <n v="2"/>
    <n v="3"/>
    <n v="3"/>
    <n v="3"/>
    <n v="3"/>
    <n v="9"/>
    <n v="4"/>
    <s v="System Failure"/>
    <n v="3"/>
    <s v="Accept"/>
    <s v=""/>
    <s v=""/>
    <m/>
    <s v=""/>
    <s v="System Failure"/>
    <n v="1"/>
    <n v="4"/>
    <s v="Not Foreseeable"/>
    <n v="1"/>
    <n v="2"/>
    <n v="2"/>
    <n v="3"/>
    <n v="3"/>
    <n v="3"/>
    <n v="3"/>
    <s v=""/>
    <s v=""/>
    <m/>
    <s v=""/>
    <n v="3"/>
    <s v="BC/DRGovernanceData"/>
    <m/>
    <m/>
    <m/>
    <m/>
    <m/>
    <m/>
    <m/>
    <m/>
    <s v="x"/>
  </r>
  <r>
    <n v="90"/>
    <x v="0"/>
    <s v="11.5 | Data Recovery | Test Data Recovery (Recover) (IG2, IG3)"/>
    <s v="Test backup recovery quarterly, or more frequently, for a sampling of in-scope enterprise assets."/>
    <s v="Recover"/>
    <m/>
    <s v="x"/>
    <s v="x"/>
    <s v="Yes"/>
    <s v="Yes"/>
    <s v="No"/>
    <s v="Yes"/>
    <s v="Yes"/>
    <n v="4"/>
    <x v="11"/>
    <x v="1"/>
    <x v="7"/>
    <s v="Data"/>
    <s v="PR.IP-4 | Information Protection Processes and Procedures  - Backups of information are conducted, maintained, and tested periodically_x000a_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C.CO-1 | Communications  - Public relations are managed_x000a_RC.CO-2 | Communications  - Reputation after an event is repaired_x000a_RC.CO-3 | Communications  - Recovery activities are communicated to internal stakeholders and executive and management teams_x000a_RC.IM-1 | Improvements  - Recovery plans incorporate lessons learned_x000a_RC.IM-2 | Improvements  - Recovery strategies are updated_x000a_RC.RP-1 | Recovery Planning  - Recovery plan is executed during or after an event_x000a_"/>
    <s v="Personnel may not properly recover information assets during a continuity event/disaster."/>
    <s v="Errors while recovering information systems may lead to loss of business data and may impact availability."/>
    <s v="Data recovery processes and backups are tested annually in Nutanix and Azure as well as when there is a major change to the environment."/>
    <s v="Backup recovery is tested annually instead of quarterly."/>
    <s v="Inadequate testing frequency may lead to undetected issues in backup and recovery processes, causing failures during actual recovery efforts."/>
    <n v="1"/>
    <n v="3"/>
    <s v="Foreseeable, not expected"/>
    <n v="2"/>
    <n v="2"/>
    <n v="2"/>
    <n v="3"/>
    <n v="3"/>
    <n v="6"/>
    <n v="6"/>
    <n v="9"/>
    <n v="3"/>
    <s v="System Failure"/>
    <n v="6"/>
    <s v="Accept"/>
    <s v=""/>
    <s v=""/>
    <m/>
    <s v=""/>
    <s v="System Failure"/>
    <n v="1"/>
    <n v="3"/>
    <s v="Foreseeable, not expected"/>
    <n v="2"/>
    <n v="2"/>
    <n v="2"/>
    <n v="3"/>
    <n v="3"/>
    <n v="6"/>
    <n v="6"/>
    <s v=""/>
    <s v=""/>
    <m/>
    <s v=""/>
    <n v="6"/>
    <s v="BC/DROperationData"/>
    <m/>
    <m/>
    <m/>
    <m/>
    <m/>
    <m/>
    <m/>
    <m/>
    <s v="x"/>
  </r>
  <r>
    <n v="91"/>
    <x v="0"/>
    <s v="12.1 | Network Infrastructure Management | Ensure Network Infrastructure is Up-to-Date (Protect) (IG1, IG2, IG3)"/>
    <s v="Ensure network infrastructure is kept up-to-date. Example implementations include running the latest stable release of software and/or using currently supported network-as-a-service (NaaS) offerings. Review software versions monthly, or more frequently, to verify software support."/>
    <s v="Protect_x000a_Detect"/>
    <s v="x"/>
    <s v="x"/>
    <s v="x"/>
    <s v="Yes"/>
    <s v="Yes"/>
    <s v="Yes"/>
    <s v="No"/>
    <s v="Yes"/>
    <n v="4"/>
    <x v="5"/>
    <x v="0"/>
    <x v="0"/>
    <s v="Network"/>
    <s v="N/A"/>
    <s v="Network resources may be excessively exposed to error or attacks if sensitive resources are not isolated from higher-risk vectors."/>
    <s v="Hackers and malware may compromise sensitive information through avoidable vulnerabilities."/>
    <s v="Network infrastructure is regularly updated with the latest stable release of software. The enterprise performs monthly reviews to ensure all network devices and software are current and supported."/>
    <s v="No gaps identified."/>
    <s v="Failure to keep network infrastructure up-to-date may expose the enterprise to security vulnerabilities and operational issues."/>
    <n v="3"/>
    <n v="4"/>
    <s v="Foreseeable, not expected"/>
    <n v="2"/>
    <n v="3"/>
    <n v="3"/>
    <n v="4"/>
    <n v="4"/>
    <n v="8"/>
    <n v="8"/>
    <n v="9"/>
    <n v="4"/>
    <s v="Physical Facility"/>
    <n v="8"/>
    <s v="Accept"/>
    <s v=""/>
    <s v=""/>
    <m/>
    <s v=""/>
    <s v="Physical Facility"/>
    <n v="3"/>
    <n v="4"/>
    <s v="Foreseeable, not expected"/>
    <n v="2"/>
    <n v="3"/>
    <n v="3"/>
    <n v="4"/>
    <n v="4"/>
    <n v="8"/>
    <n v="8"/>
    <s v=""/>
    <s v=""/>
    <m/>
    <s v=""/>
    <n v="8"/>
    <s v="Network ArchitectureGovernanceNetwork"/>
    <m/>
    <m/>
    <m/>
    <s v="x"/>
    <s v="x"/>
    <m/>
    <s v="x"/>
    <m/>
    <m/>
  </r>
  <r>
    <n v="92"/>
    <x v="0"/>
    <s v="12.2 | Network Infrastructure Management | Establish and Maintain a Secure Network Architecture (Protect) (IG2, IG3)"/>
    <s v="Establish and maintain a secure network architecture. A secure network architecture must address segmentation, least privilege, and availability, at a minimum."/>
    <s v="Protect_x000a_Detect"/>
    <m/>
    <s v="x"/>
    <s v="x"/>
    <s v="Yes"/>
    <s v="Yes"/>
    <s v="Yes"/>
    <s v="Yes"/>
    <s v="Yes"/>
    <n v="5"/>
    <x v="5"/>
    <x v="0"/>
    <x v="1"/>
    <s v="Network"/>
    <s v="N/A"/>
    <s v="Network resources may be excessively exposed to error or attacks if sensitive resources are not isolated from higher-risk vectors."/>
    <s v="Hackers and malware may compromise sensitive information through avoidable vulnerabilities."/>
    <s v="Network architecture is logically segregated and maintained using Cisco Vmanage, SolarWinds for compliance testing, LibreNMS for inventory and health monitoring, and device consoles such as Panorama to manage the firewalls."/>
    <s v="No gaps identified."/>
    <s v="Failure to establish and maintain a secure network architecture may lead to unauthorized access and data breaches."/>
    <n v="2"/>
    <n v="4"/>
    <s v="Foreseeable, not expected"/>
    <n v="2"/>
    <n v="3"/>
    <n v="3"/>
    <n v="4"/>
    <n v="4"/>
    <n v="8"/>
    <n v="8"/>
    <n v="9"/>
    <n v="4"/>
    <s v="Hacking System"/>
    <n v="8"/>
    <s v="Accept"/>
    <s v=""/>
    <s v=""/>
    <m/>
    <s v=""/>
    <s v="Hacking System"/>
    <n v="2"/>
    <n v="4"/>
    <s v="Foreseeable, not expected"/>
    <n v="2"/>
    <n v="3"/>
    <n v="3"/>
    <n v="4"/>
    <n v="4"/>
    <n v="8"/>
    <n v="8"/>
    <s v=""/>
    <s v=""/>
    <m/>
    <s v=""/>
    <n v="8"/>
    <s v="Network ArchitectureGovernanceNetwork"/>
    <m/>
    <m/>
    <m/>
    <s v="x"/>
    <s v="x"/>
    <m/>
    <s v="x"/>
    <m/>
    <m/>
  </r>
  <r>
    <n v="93"/>
    <x v="0"/>
    <s v="12.3 | Network Infrastructure Management | Securely Manage Network Infrastructure (Protect) (IG2, IG3)"/>
    <s v="Securely manage network infrastructure. Example implementations include version-controlled-infrastructure-as-code, and the use of secure network protocols, such as SSH and HTTPS. "/>
    <s v="Protect"/>
    <m/>
    <s v="x"/>
    <s v="x"/>
    <s v="No"/>
    <s v="No"/>
    <s v="No"/>
    <s v="No"/>
    <s v="No"/>
    <n v="0"/>
    <x v="5"/>
    <x v="1"/>
    <x v="1"/>
    <s v="Network"/>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Service System Center in Service Manager and ITAM are the sources of truth for network diagrams. Tufin is used as the firewall management tool for the Checkpoint and Palo Alto firewalls. EveNG is used to test configuration changes. "/>
    <s v="No gaps identified."/>
    <s v="Failure to securely manage network infrastructure may result in unauthorized changes and vulnerabilities."/>
    <n v="2"/>
    <n v="4"/>
    <s v="Foreseeable, not expected"/>
    <n v="2"/>
    <n v="3"/>
    <n v="3"/>
    <n v="4"/>
    <n v="4"/>
    <n v="8"/>
    <n v="8"/>
    <n v="9"/>
    <n v="4"/>
    <s v="Hacking System"/>
    <n v="8"/>
    <s v="Accept"/>
    <s v=""/>
    <s v=""/>
    <m/>
    <s v=""/>
    <s v="Hacking System"/>
    <n v="2"/>
    <n v="4"/>
    <s v="Foreseeable, not expected"/>
    <n v="2"/>
    <n v="3"/>
    <n v="3"/>
    <n v="4"/>
    <n v="4"/>
    <n v="8"/>
    <n v="8"/>
    <s v=""/>
    <s v=""/>
    <m/>
    <s v=""/>
    <n v="8"/>
    <s v="Network ArchitectureOperationNetwork"/>
    <m/>
    <m/>
    <m/>
    <m/>
    <m/>
    <m/>
    <m/>
    <m/>
    <m/>
  </r>
  <r>
    <n v="94"/>
    <x v="0"/>
    <s v="12.4 | Network Infrastructure Management | Establish and Maintain Architecture Diagram(s) (Identify) (IG2, IG3)"/>
    <s v="Establish and maintain architecture diagram(s) and/or other network system documentation. Review and update documentation annually, or when significant enterprise changes occur that could impact this Safeguard."/>
    <s v="Identify"/>
    <m/>
    <s v="x"/>
    <s v="x"/>
    <s v="No"/>
    <s v="No"/>
    <s v="No"/>
    <s v="No"/>
    <s v="No"/>
    <n v="0"/>
    <x v="5"/>
    <x v="0"/>
    <x v="1"/>
    <s v="Network"/>
    <s v="N/A"/>
    <s v="Network resources may be excessively exposed to error or attacks if sensitive resources are not isolated from higher-risk vectors."/>
    <s v="Hackers and malware may compromise sensitive information through avoidable vulnerabilities."/>
    <s v="Comprehensive network architecture diagrams are established and maintained. Documentation is reviewed and updated annually or when significant changes occur within the enterprise."/>
    <s v="No gaps identified."/>
    <s v="Failure to maintain up-to-date architecture diagrams may hinder troubleshooting and increase the risk of misconfigurations."/>
    <n v="2"/>
    <n v="4"/>
    <s v="Foreseeable, not expected"/>
    <n v="2"/>
    <n v="3"/>
    <n v="3"/>
    <n v="4"/>
    <n v="4"/>
    <n v="8"/>
    <n v="8"/>
    <n v="9"/>
    <n v="4"/>
    <s v="Hacking System"/>
    <n v="8"/>
    <s v="Accept"/>
    <s v=""/>
    <s v=""/>
    <m/>
    <s v=""/>
    <s v="Hacking System"/>
    <n v="2"/>
    <n v="4"/>
    <s v="Foreseeable, not expected"/>
    <n v="2"/>
    <n v="3"/>
    <n v="3"/>
    <n v="4"/>
    <n v="4"/>
    <n v="8"/>
    <n v="8"/>
    <s v=""/>
    <s v=""/>
    <m/>
    <s v=""/>
    <n v="8"/>
    <s v="Network ArchitectureGovernanceNetwork"/>
    <m/>
    <m/>
    <m/>
    <m/>
    <m/>
    <m/>
    <m/>
    <m/>
    <m/>
  </r>
  <r>
    <n v="95"/>
    <x v="0"/>
    <s v="12.5 | Network Infrastructure Management | Centralize Network Authentication, Authorization, and Auditing (AAA) (Protect) (IG2, IG3)"/>
    <s v="Centralize network AAA."/>
    <s v="Protect"/>
    <m/>
    <s v="x"/>
    <s v="x"/>
    <s v="No"/>
    <s v="No"/>
    <s v="No"/>
    <s v="No"/>
    <s v="No"/>
    <n v="0"/>
    <x v="5"/>
    <x v="1"/>
    <x v="1"/>
    <s v="Network"/>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AAA services are done through ClearPass by Aruba. Other devices such as printers use MAC authentication. "/>
    <s v="No gaps identified."/>
    <s v="Failure to centralize network AAA may lead to inconsistent authentication, authorization, and auditing practices, increasing security risks."/>
    <n v="2"/>
    <n v="4"/>
    <s v="Foreseeable, not expected"/>
    <n v="2"/>
    <n v="3"/>
    <n v="3"/>
    <n v="4"/>
    <n v="4"/>
    <n v="8"/>
    <n v="8"/>
    <n v="9"/>
    <n v="4"/>
    <s v="Hacking System"/>
    <n v="8"/>
    <s v="Accept"/>
    <s v=""/>
    <s v=""/>
    <m/>
    <s v=""/>
    <s v="Hacking System"/>
    <n v="2"/>
    <n v="4"/>
    <s v="Foreseeable, not expected"/>
    <n v="2"/>
    <n v="3"/>
    <n v="3"/>
    <n v="4"/>
    <n v="4"/>
    <n v="8"/>
    <n v="8"/>
    <s v=""/>
    <s v=""/>
    <m/>
    <s v=""/>
    <n v="8"/>
    <s v="Network ArchitectureOperationNetwork"/>
    <m/>
    <m/>
    <m/>
    <m/>
    <m/>
    <m/>
    <m/>
    <m/>
    <m/>
  </r>
  <r>
    <n v="96"/>
    <x v="0"/>
    <s v="12.6 | Network Infrastructure Management | Use of Secure Network Management and Communication Protocols (Protect) (IG2, IG3)"/>
    <s v="Use secure network management and communication protocols (e.g., 802.1X, Wi-Fi Protected Access 2 (WPA2) Enterprise or greater)."/>
    <s v="Protect"/>
    <m/>
    <s v="x"/>
    <s v="x"/>
    <s v="No"/>
    <s v="No"/>
    <s v="No"/>
    <s v="No"/>
    <s v="No"/>
    <n v="0"/>
    <x v="5"/>
    <x v="1"/>
    <x v="1"/>
    <s v="Network"/>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Secure network management and communication protocols, including 802.1X and WPA2 Enterprise, are implemented across the enterprise. These protocols ensure secure access to network resources."/>
    <s v="No gaps identified."/>
    <s v="Failure to use secure network management and communication protocols may result in unauthorized access and data breaches."/>
    <n v="2"/>
    <n v="4"/>
    <s v="Foreseeable, not expected"/>
    <n v="2"/>
    <n v="3"/>
    <n v="3"/>
    <n v="4"/>
    <n v="4"/>
    <n v="8"/>
    <n v="8"/>
    <n v="9"/>
    <n v="4"/>
    <s v="Hacking System"/>
    <n v="8"/>
    <s v="Accept"/>
    <s v=""/>
    <s v=""/>
    <m/>
    <s v=""/>
    <s v="Hacking System"/>
    <n v="2"/>
    <n v="4"/>
    <s v="Foreseeable, not expected"/>
    <n v="2"/>
    <n v="3"/>
    <n v="3"/>
    <n v="4"/>
    <n v="4"/>
    <n v="8"/>
    <n v="8"/>
    <s v=""/>
    <s v=""/>
    <m/>
    <s v=""/>
    <n v="8"/>
    <s v="Network ArchitectureOperationNetwork"/>
    <m/>
    <m/>
    <m/>
    <m/>
    <m/>
    <m/>
    <m/>
    <m/>
    <m/>
  </r>
  <r>
    <n v="97"/>
    <x v="0"/>
    <s v="12.7 | Network Infrastructure Management | Ensure Remote Devices Utilize a VPN and are Connecting to an Enterprise's AAA Infrastructure (Protect) (IG2, IG3)"/>
    <s v="Require users to authenticate to enterprise-managed VPN and authentication services prior to accessing enterprise resources on end-user devices."/>
    <s v="Protect_x000a_Detect"/>
    <m/>
    <s v="x"/>
    <s v="x"/>
    <s v="Yes"/>
    <s v="Yes"/>
    <s v="Yes"/>
    <s v="Yes"/>
    <s v="Yes"/>
    <n v="5"/>
    <x v="5"/>
    <x v="1"/>
    <x v="1"/>
    <s v="Devices"/>
    <s v="PR.AC-5 | Access Control  - Network integrity is protected, incorporating network segregation where appropriate_x000a_PR.DS-7 | Data Security  - The development and testing environment(s) are separate from the production environment_x000a_PR.PT-4 | Protective Technology  - Communications and control networks are protected_x000a_DE.AE-1 | Anomalies and Events  - A baseline of network operations and expected data flows for users and systems is established and managed_x000a_"/>
    <s v="The organization may not be able to effectively isolate, monitor, or control risky traffic within and throughout their networks."/>
    <s v="Hackers and malware may compromise sensitive information through avoidable vulnerabilities."/>
    <s v="Remote devices are required to utilize a VPN and authenticate to enterprise-managed AAA infrastructure before accessing resources. This is enforced using tools like Cisco AnyConnect and Duo Security. All remote access is done through Roam. "/>
    <s v="No gaps identified."/>
    <s v="Failure to ensure remote devices utilize a VPN and connect to AAA infrastructure may result in unauthorized access to enterprise resources."/>
    <n v="2"/>
    <n v="4"/>
    <s v="Foreseeable, not expected"/>
    <n v="2"/>
    <n v="3"/>
    <n v="3"/>
    <n v="4"/>
    <n v="4"/>
    <n v="8"/>
    <n v="8"/>
    <n v="9"/>
    <n v="4"/>
    <s v="Hacking System"/>
    <n v="8"/>
    <s v="Accept"/>
    <s v=""/>
    <s v=""/>
    <m/>
    <s v=""/>
    <s v="Hacking System"/>
    <n v="2"/>
    <n v="4"/>
    <s v="Foreseeable, not expected"/>
    <n v="2"/>
    <n v="3"/>
    <n v="3"/>
    <n v="4"/>
    <n v="4"/>
    <n v="8"/>
    <n v="8"/>
    <s v=""/>
    <s v=""/>
    <m/>
    <s v=""/>
    <n v="8"/>
    <s v="Network ArchitectureOperationDevices"/>
    <m/>
    <m/>
    <m/>
    <s v="x"/>
    <s v="x"/>
    <m/>
    <s v="x"/>
    <m/>
    <m/>
  </r>
  <r>
    <n v="98"/>
    <x v="0"/>
    <s v="12.8 | Network Infrastructure Management | Establish and Maintain Dedicated Computing Resources For all Administrative Work (Protect) (IG3)"/>
    <s v="Establish and maintain dedicated computing resources, either physically or logically separated, for all administrative tasks or tasks requiring administrative access. The computing resources should be segmented from the enterprise's primary network and not be allowed internet access."/>
    <s v="Protect_x000a_Detect"/>
    <m/>
    <m/>
    <s v="x"/>
    <s v="Yes"/>
    <s v="Yes"/>
    <s v="Yes"/>
    <s v="Yes"/>
    <s v="Yes"/>
    <n v="5"/>
    <x v="5"/>
    <x v="0"/>
    <x v="3"/>
    <s v="Devices"/>
    <s v="N/A"/>
    <s v="Network resources may be excessively exposed to error or attacks if sensitive resources are not isolated from higher-risk vectors."/>
    <s v="Hackers and malware may compromise sensitive information through avoidable vulnerabilities."/>
    <s v="Admin work is done through dedicated consoles and platforms. LibreNMS is on a dedicated host, but admin work is done through SSH in Roam. "/>
    <s v="No gaps identified."/>
    <s v="Lack of dedicated and isolated computing resources for administrative work may increase the risk of unauthorized access and operational interference."/>
    <n v="2"/>
    <n v="4"/>
    <s v="Foreseeable, not expected"/>
    <n v="2"/>
    <n v="3"/>
    <n v="3"/>
    <n v="4"/>
    <n v="4"/>
    <n v="8"/>
    <n v="8"/>
    <n v="9"/>
    <n v="4"/>
    <s v="Personnel Error"/>
    <n v="8"/>
    <s v="Accept"/>
    <s v=""/>
    <s v=""/>
    <m/>
    <s v=""/>
    <s v="Personnel Error"/>
    <n v="2"/>
    <n v="4"/>
    <s v="Foreseeable, not expected"/>
    <n v="2"/>
    <n v="3"/>
    <n v="3"/>
    <n v="4"/>
    <n v="4"/>
    <n v="8"/>
    <n v="8"/>
    <s v=""/>
    <s v=""/>
    <m/>
    <s v=""/>
    <n v="8"/>
    <s v="Network ArchitectureGovernanceDevices"/>
    <m/>
    <m/>
    <m/>
    <s v="x"/>
    <s v="x"/>
    <m/>
    <s v="x"/>
    <m/>
    <m/>
  </r>
  <r>
    <n v="99"/>
    <x v="0"/>
    <s v="13.1 | Network Monitoring and Defense | Centralize Security Event Alerting (Detect) (IG2, IG3)"/>
    <s v="Centralize security event alerting across enterprise assets for log correlation and analysis. Best practice implementation requires the use of a SIEM, which includes vendor-defined event correlation alerts. A log analytics platform configured with security-relevant correlation alerts also satisfies this Safeguard."/>
    <s v="Detect"/>
    <m/>
    <s v="x"/>
    <s v="x"/>
    <s v="No"/>
    <s v="No"/>
    <s v="No"/>
    <s v="No"/>
    <s v="No"/>
    <n v="0"/>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Security event alerting is centralized using a Artic Wolf. The SIEM is configured with vendor-defined event correlation alerts and integrates with a log analytics platform for enhanced security event analysis."/>
    <s v="No gaps identified."/>
    <s v="Failure to centralize security event alerting may result in delayed detection and response to security incidents."/>
    <n v="2"/>
    <n v="4"/>
    <s v="Foreseeable, not expected"/>
    <n v="2"/>
    <n v="3"/>
    <n v="3"/>
    <n v="4"/>
    <n v="4"/>
    <n v="8"/>
    <n v="8"/>
    <n v="9"/>
    <n v="4"/>
    <s v="Hacking System"/>
    <n v="8"/>
    <s v="Accept"/>
    <s v=""/>
    <s v=""/>
    <m/>
    <s v=""/>
    <s v="Hacking System"/>
    <n v="2"/>
    <n v="4"/>
    <s v="Foreseeable, not expected"/>
    <n v="2"/>
    <n v="3"/>
    <n v="3"/>
    <n v="4"/>
    <n v="4"/>
    <n v="8"/>
    <n v="8"/>
    <s v=""/>
    <s v=""/>
    <m/>
    <s v=""/>
    <n v="8"/>
    <s v="Monitoring &amp; LoggingOperationNetwork"/>
    <m/>
    <m/>
    <m/>
    <m/>
    <m/>
    <m/>
    <m/>
    <m/>
    <m/>
  </r>
  <r>
    <n v="100"/>
    <x v="0"/>
    <s v="13.2 | Network Monitoring and Defense | Deploy a Host-Based Intrusion Detection Solution (Detect) (IG2, IG3)"/>
    <s v="Deploy a host-based intrusion detection solution on enterprise assets, where appropriate and/or supported."/>
    <s v="Protect"/>
    <m/>
    <s v="x"/>
    <s v="x"/>
    <s v="Yes"/>
    <s v="Yes"/>
    <s v="Yes"/>
    <s v="Yes"/>
    <s v="Yes"/>
    <n v="5"/>
    <x v="1"/>
    <x v="1"/>
    <x v="0"/>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Crowdstrike has host-based intrusion detection solutions implemented on all appropriate enterprise assets."/>
    <s v="No gaps identified."/>
    <s v="Failure to deploy host-based intrusion detection solutions may lead to undetected malicious activities on enterprise assets."/>
    <n v="3"/>
    <n v="5"/>
    <s v="Not Foreseeable"/>
    <n v="1"/>
    <n v="3"/>
    <n v="3"/>
    <n v="4"/>
    <n v="4"/>
    <n v="4"/>
    <n v="4"/>
    <n v="9"/>
    <n v="5"/>
    <s v="Physical Facility"/>
    <n v="4"/>
    <s v="Accept"/>
    <s v=""/>
    <s v=""/>
    <m/>
    <s v=""/>
    <s v="Physical Facility"/>
    <n v="3"/>
    <n v="5"/>
    <s v="Not Foreseeable"/>
    <n v="1"/>
    <n v="3"/>
    <n v="3"/>
    <n v="4"/>
    <n v="4"/>
    <n v="4"/>
    <n v="4"/>
    <s v=""/>
    <s v=""/>
    <m/>
    <s v=""/>
    <n v="4"/>
    <s v="Vulnerability ManagementOperationDevices"/>
    <s v="x"/>
    <m/>
    <m/>
    <m/>
    <m/>
    <m/>
    <m/>
    <m/>
    <m/>
  </r>
  <r>
    <n v="101"/>
    <x v="0"/>
    <s v="13.3 | Network Monitoring and Defense | Deploy a Network Intrusion Detection Solution (Detect) (IG2, IG3)"/>
    <s v="Deploy a network intrusion detection solution on enterprise assets, where appropriate. Example implementations include the use of a Network Intrusion Detection System (NIDS) or equivalent cloud service provider (CSP) service."/>
    <s v="Protect"/>
    <m/>
    <s v="x"/>
    <s v="x"/>
    <s v="Yes"/>
    <s v="Yes"/>
    <s v="Yes"/>
    <s v="Yes"/>
    <s v="Yes"/>
    <n v="5"/>
    <x v="1"/>
    <x v="1"/>
    <x v="0"/>
    <s v="Network"/>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Checkpoint and Palo Alto firewalls, as well as dedicated appliances from SecureWorks and Artic Wolf have network intrusion detection enabled, conducting traffic analyses and collecting network traffic flow logs."/>
    <s v="No gaps identified."/>
    <s v="Failure to deploy a network intrusion detection solution may lead to undetected network-based attacks."/>
    <n v="3"/>
    <n v="5"/>
    <s v="Not Foreseeable"/>
    <n v="1"/>
    <n v="3"/>
    <n v="3"/>
    <n v="4"/>
    <n v="4"/>
    <n v="4"/>
    <n v="4"/>
    <n v="9"/>
    <n v="5"/>
    <s v="Physical Facility"/>
    <n v="4"/>
    <s v="Accept"/>
    <s v=""/>
    <s v=""/>
    <m/>
    <s v=""/>
    <s v="Physical Facility"/>
    <n v="3"/>
    <n v="5"/>
    <s v="Not Foreseeable"/>
    <n v="1"/>
    <n v="3"/>
    <n v="3"/>
    <n v="4"/>
    <n v="4"/>
    <n v="4"/>
    <n v="4"/>
    <s v=""/>
    <s v=""/>
    <m/>
    <s v=""/>
    <n v="4"/>
    <s v="Vulnerability ManagementOperationNetwork"/>
    <s v="x"/>
    <m/>
    <m/>
    <m/>
    <m/>
    <m/>
    <m/>
    <m/>
    <m/>
  </r>
  <r>
    <n v="102"/>
    <x v="0"/>
    <s v="13.4 | Network Monitoring and Defense | Perform Traffic Filtering Between Network Segments (Protect) (IG2, IG3)"/>
    <s v="Perform traffic filtering between network segments, where appropriate."/>
    <s v="Protect"/>
    <m/>
    <s v="x"/>
    <s v="x"/>
    <s v="Yes"/>
    <s v="Yes"/>
    <s v="Yes"/>
    <s v="Yes"/>
    <s v="Yes"/>
    <n v="5"/>
    <x v="8"/>
    <x v="1"/>
    <x v="1"/>
    <s v="Network"/>
    <s v="N/A"/>
    <s v="Network devices may provide vulnerabilities to attackers and malware, exposing system integrity, availability, or confidentiality of data."/>
    <s v="Hackers and malware may compromise the network by taking advantage of avoidable vulnerabilities._x000a__x000a_"/>
    <s v="Traffic filters are on the routers themselves. SD-WAN filters traffic from the network to the offices, unless it is a logically segregated network which goes through the firewall. "/>
    <s v="No gaps identified."/>
    <s v="Failure to perform traffic filtering between network segments may allow lateral movement of threats within the network."/>
    <n v="2"/>
    <n v="4"/>
    <s v="Foreseeable, not expected"/>
    <n v="2"/>
    <n v="3"/>
    <n v="3"/>
    <n v="4"/>
    <n v="4"/>
    <n v="8"/>
    <n v="8"/>
    <n v="9"/>
    <n v="4"/>
    <s v="Hacking System"/>
    <n v="8"/>
    <s v="Accept"/>
    <s v=""/>
    <s v=""/>
    <m/>
    <s v=""/>
    <s v="Hacking System"/>
    <n v="2"/>
    <n v="4"/>
    <s v="Foreseeable, not expected"/>
    <n v="2"/>
    <n v="3"/>
    <n v="3"/>
    <n v="4"/>
    <n v="4"/>
    <n v="8"/>
    <n v="8"/>
    <s v=""/>
    <s v=""/>
    <m/>
    <s v=""/>
    <n v="8"/>
    <s v="Network Device ManagementOperationNetwork"/>
    <s v="x"/>
    <m/>
    <m/>
    <m/>
    <m/>
    <m/>
    <m/>
    <m/>
    <m/>
  </r>
  <r>
    <n v="103"/>
    <x v="0"/>
    <s v="13.5 | Network Monitoring and Defense | Manage Access Control for Remote Assets (Protect) (IG2, IG3)"/>
    <s v="Manage access control for assets remotely connecting to enterprise resources. Determine amount of access to enterprise resources based on: up-to-date anti-malware software installed, configuration compliance with the enterprise’s secure configuration process, and ensuring the operating system and applications are up-to-date._x0009_ "/>
    <s v="Protect"/>
    <m/>
    <s v="x"/>
    <s v="x"/>
    <s v="Yes"/>
    <s v="Yes"/>
    <s v="Yes"/>
    <s v="Yes"/>
    <s v="Yes"/>
    <n v="5"/>
    <x v="3"/>
    <x v="1"/>
    <x v="1"/>
    <s v="Devices"/>
    <s v="PR.AC-1 | Access Control  - Identities and credentials are managed for authorized devices and users_x000a_PR.AC-3 | Access Control  - Remote access is managed_x000a_PR.AC-4 | Access Control  - Access permissions are managed, incorporating the principles of least privilege and separation of duties_x000a_PR.PT-3 | Protective Technology  - Access to systems and assets is controlled, incorporating the principle of least functionality_x000a_"/>
    <s v="Access privileges may be unmonitored and abused by personnel, disgruntled employees, dismissed employees, or attackers."/>
    <s v="Systems and data may be compromised through unauthorized use of valid access accounts."/>
    <s v="Access control for remote assets is managed by verifying the presence of up-to-date anti-malware software, ensuring compliance with the enterprise's secure configuration standards, and confirming that operating systems and applications are current."/>
    <s v="No gaps identified."/>
    <s v="Failure to manage access control for remote assets may result in unauthorized access to enterprise resources."/>
    <n v="2"/>
    <n v="4"/>
    <s v="Foreseeable, not expected"/>
    <n v="2"/>
    <n v="3"/>
    <n v="3"/>
    <n v="4"/>
    <n v="4"/>
    <n v="8"/>
    <n v="8"/>
    <n v="9"/>
    <n v="4"/>
    <s v="Hacking System"/>
    <n v="8"/>
    <s v="Accept"/>
    <s v=""/>
    <s v=""/>
    <m/>
    <s v=""/>
    <s v="Hacking System"/>
    <n v="2"/>
    <n v="4"/>
    <s v="Foreseeable, not expected"/>
    <n v="2"/>
    <n v="3"/>
    <n v="3"/>
    <n v="4"/>
    <n v="4"/>
    <n v="8"/>
    <n v="8"/>
    <s v=""/>
    <s v=""/>
    <m/>
    <s v=""/>
    <n v="8"/>
    <s v="Access ControlOperationDevices"/>
    <s v="x"/>
    <m/>
    <m/>
    <m/>
    <m/>
    <m/>
    <m/>
    <m/>
    <m/>
  </r>
  <r>
    <n v="104"/>
    <x v="0"/>
    <s v="13.6 | Network Monitoring and Defense | Collect Network Traffic Flow Logs (Detect) (IG2, IG3)"/>
    <s v="Collect network traffic flow logs and/or network traffic to review and alert upon from network devices."/>
    <s v="Detect"/>
    <m/>
    <s v="x"/>
    <s v="x"/>
    <s v="No"/>
    <s v="No"/>
    <s v="No"/>
    <s v="No"/>
    <s v="No"/>
    <n v="0"/>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Network traffic flow logs are collected by an Artic Wolf appliance that does traffic analysis, physically tapped into a matrix switch on the network. "/>
    <s v="No gaps identified."/>
    <s v="Failure to collect network traffic flow logs may hinder the ability to detect and respond to network anomalies and threats."/>
    <n v="2"/>
    <n v="5"/>
    <s v="Not Foreseeable"/>
    <n v="1"/>
    <n v="3"/>
    <n v="3"/>
    <n v="4"/>
    <n v="4"/>
    <n v="4"/>
    <n v="4"/>
    <n v="9"/>
    <n v="5"/>
    <s v="Hacking System"/>
    <n v="4"/>
    <s v="Accept"/>
    <s v=""/>
    <s v=""/>
    <m/>
    <s v=""/>
    <s v="Hacking System"/>
    <n v="2"/>
    <n v="5"/>
    <s v="Not Foreseeable"/>
    <n v="1"/>
    <n v="3"/>
    <n v="3"/>
    <n v="4"/>
    <n v="4"/>
    <n v="4"/>
    <n v="4"/>
    <s v=""/>
    <s v=""/>
    <m/>
    <s v=""/>
    <n v="4"/>
    <s v="Monitoring &amp; LoggingOperationNetwork"/>
    <m/>
    <m/>
    <m/>
    <m/>
    <m/>
    <m/>
    <m/>
    <m/>
    <m/>
  </r>
  <r>
    <n v="105"/>
    <x v="0"/>
    <s v="13.7 | Network Monitoring and Defense | Deploy a Host-Based Intrusion Prevention Solution (Protect) (IG3)"/>
    <s v=" Deploy a host-based intrusion prevention solution on enterprise assets, where appropriate and/or supported. Example implementations include use of an Endpoint Detection and Response (EDR) client or host-based IPS agent."/>
    <s v="Protect"/>
    <m/>
    <m/>
    <s v="x"/>
    <s v="Yes"/>
    <s v="Yes"/>
    <s v="Yes"/>
    <s v="Yes"/>
    <s v="Yes"/>
    <n v="5"/>
    <x v="1"/>
    <x v="1"/>
    <x v="0"/>
    <s v="Device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Crowdstrike has host-based intrusion prevention solutions implemented on all appropriate enterprise assets."/>
    <s v="No gaps identified."/>
    <s v="Failure to deploy host-based intrusion prevention solutions may result in undetected and unmitigated malicious activities on enterprise assets."/>
    <n v="3"/>
    <n v="5"/>
    <s v="Not Foreseeable"/>
    <n v="1"/>
    <n v="3"/>
    <n v="3"/>
    <n v="4"/>
    <n v="4"/>
    <n v="4"/>
    <n v="4"/>
    <n v="9"/>
    <n v="5"/>
    <s v="Physical Facility"/>
    <n v="4"/>
    <s v="Accept"/>
    <s v=""/>
    <s v=""/>
    <m/>
    <s v=""/>
    <s v="Physical Facility"/>
    <n v="3"/>
    <n v="5"/>
    <s v="Not Foreseeable"/>
    <n v="1"/>
    <n v="3"/>
    <n v="3"/>
    <n v="4"/>
    <n v="4"/>
    <n v="4"/>
    <n v="4"/>
    <s v=""/>
    <s v=""/>
    <m/>
    <s v=""/>
    <n v="4"/>
    <s v="Vulnerability ManagementOperationDevices"/>
    <s v="x"/>
    <m/>
    <m/>
    <m/>
    <m/>
    <m/>
    <m/>
    <m/>
    <m/>
  </r>
  <r>
    <n v="106"/>
    <x v="0"/>
    <s v="13.8 | Network Monitoring and Defense | Deploy a Network Intrusion Prevention Solution (Protect) (IG3)"/>
    <s v="Deploy a network intrusion prevention solution, where appropriate. Example implementations include the use of a Network Intrusion Prevention System (NIPS) or equivalent CSP service."/>
    <s v="Protect"/>
    <m/>
    <m/>
    <s v="x"/>
    <s v="Yes"/>
    <s v="Yes"/>
    <s v="Yes"/>
    <s v="Yes"/>
    <s v="Yes"/>
    <n v="5"/>
    <x v="1"/>
    <x v="1"/>
    <x v="0"/>
    <s v="Network"/>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Checkpoint and Palo Alto firewalls, as well as dedicated appliances from SecureWorks and Artic Wolf have network intrusion prevention enabled, conducting traffic analyses and collecting network traffic flow logs."/>
    <s v="No gaps identified."/>
    <s v="Failure to deploy a network intrusion prevention solution may lead to undetected and unmitigated network-based attacks."/>
    <n v="3"/>
    <n v="5"/>
    <s v="Not Foreseeable"/>
    <n v="1"/>
    <n v="3"/>
    <n v="3"/>
    <n v="4"/>
    <n v="4"/>
    <n v="4"/>
    <n v="4"/>
    <n v="9"/>
    <n v="5"/>
    <s v="Physical Facility"/>
    <n v="4"/>
    <s v="Accept"/>
    <s v=""/>
    <s v=""/>
    <m/>
    <s v=""/>
    <s v="Physical Facility"/>
    <n v="3"/>
    <n v="5"/>
    <s v="Not Foreseeable"/>
    <n v="1"/>
    <n v="3"/>
    <n v="3"/>
    <n v="4"/>
    <n v="4"/>
    <n v="4"/>
    <n v="4"/>
    <s v=""/>
    <s v=""/>
    <m/>
    <s v=""/>
    <n v="4"/>
    <s v="Vulnerability ManagementOperationNetwork"/>
    <s v="x"/>
    <m/>
    <m/>
    <m/>
    <m/>
    <m/>
    <m/>
    <m/>
    <m/>
  </r>
  <r>
    <n v="107"/>
    <x v="0"/>
    <s v="13.9 | Network Monitoring and Defense | Deploy Port-Level Access Control (Protect) (IG3)"/>
    <s v="Deploy port-level access control. Port-level access control utilizes 802.1x, or similar network access control protocols, such as certificates, and may incorporate user and/or device authentication."/>
    <s v="Protect"/>
    <m/>
    <m/>
    <s v="x"/>
    <s v="No"/>
    <s v="No"/>
    <s v="No"/>
    <s v="No"/>
    <s v="No"/>
    <n v="0"/>
    <x v="8"/>
    <x v="1"/>
    <x v="1"/>
    <s v="Devices"/>
    <s v="N/A"/>
    <s v="Network devices may provide vulnerabilities to attackers and malware, exposing system integrity, availability, or confidentiality of data."/>
    <s v="Hackers and malware may compromise the network by taking advantage of avoidable vulnerabilities._x000a__x000a_"/>
    <s v="Port-level access control is enforced using 802.1x protocols. Devices must authenticate before gaining network access, ensuring only authorized users and devices can connect. Devices must also be domain-joined to connect to the network. "/>
    <s v="No gaps identified."/>
    <s v="Failure to deploy port-level access control may allow unauthorized devices to access the network."/>
    <n v="2"/>
    <n v="4"/>
    <s v="Foreseeable, not expected"/>
    <n v="2"/>
    <n v="3"/>
    <n v="3"/>
    <n v="4"/>
    <n v="4"/>
    <n v="8"/>
    <n v="8"/>
    <n v="9"/>
    <n v="4"/>
    <s v="Hacking System"/>
    <n v="8"/>
    <s v="Accept"/>
    <s v=""/>
    <s v=""/>
    <m/>
    <s v=""/>
    <s v="Hacking System"/>
    <n v="2"/>
    <n v="4"/>
    <s v="Foreseeable, not expected"/>
    <n v="2"/>
    <n v="3"/>
    <n v="3"/>
    <n v="4"/>
    <n v="4"/>
    <n v="8"/>
    <n v="8"/>
    <s v=""/>
    <s v=""/>
    <m/>
    <s v=""/>
    <n v="8"/>
    <s v="Network Device ManagementOperationDevices"/>
    <m/>
    <m/>
    <m/>
    <m/>
    <m/>
    <m/>
    <m/>
    <m/>
    <m/>
  </r>
  <r>
    <n v="108"/>
    <x v="0"/>
    <s v="13.10 | Network Monitoring and Defense | Perform Application Layer Filtering (Protect) (IG3)"/>
    <s v="Perform application layer filtering. Example implementations include a filtering proxy, application layer firewall, or gateway."/>
    <s v="Protect"/>
    <m/>
    <m/>
    <s v="x"/>
    <s v="Yes"/>
    <s v="Yes"/>
    <s v="Yes"/>
    <s v="Yes"/>
    <s v="Yes"/>
    <n v="5"/>
    <x v="8"/>
    <x v="1"/>
    <x v="1"/>
    <s v="Network"/>
    <s v="N/A"/>
    <s v="Network devices may provide vulnerabilities to attackers and malware, exposing system integrity, availability, or confidentiality of data."/>
    <s v="Hackers and malware may compromise the network by taking advantage of avoidable vulnerabilities._x000a__x000a_"/>
    <s v="Application filtering is done by Security Groups, not on the Application. Has application-based rules on the Palo Alto devices, as well as uses port-based rules."/>
    <s v="No gaps identified."/>
    <s v="Lack of direct application layer filtering may result in insufficient filtering of application-level threats."/>
    <n v="2"/>
    <n v="4"/>
    <s v="Foreseeable, not expected"/>
    <n v="2"/>
    <n v="3"/>
    <n v="3"/>
    <n v="4"/>
    <n v="4"/>
    <n v="8"/>
    <n v="8"/>
    <n v="9"/>
    <n v="4"/>
    <s v="Hacking System"/>
    <n v="8"/>
    <s v="Accept"/>
    <s v=""/>
    <s v=""/>
    <m/>
    <s v=""/>
    <s v="Hacking System"/>
    <n v="2"/>
    <n v="4"/>
    <s v="Foreseeable, not expected"/>
    <n v="2"/>
    <n v="3"/>
    <n v="3"/>
    <n v="4"/>
    <n v="4"/>
    <n v="8"/>
    <n v="8"/>
    <s v=""/>
    <s v=""/>
    <m/>
    <s v=""/>
    <n v="8"/>
    <s v="Network Device ManagementOperationNetwork"/>
    <s v="x"/>
    <m/>
    <m/>
    <m/>
    <m/>
    <m/>
    <m/>
    <m/>
    <m/>
  </r>
  <r>
    <n v="109"/>
    <x v="0"/>
    <s v="13.11 | Network Monitoring and Defense | Tune Security Event Alerting Thresholds (Detect) (IG3)"/>
    <s v="Tune security event alerting thresholds monthly, or more frequently."/>
    <s v="Detect"/>
    <m/>
    <m/>
    <s v="x"/>
    <s v="No"/>
    <s v="No"/>
    <s v="No"/>
    <s v="No"/>
    <s v="No"/>
    <n v="0"/>
    <x v="6"/>
    <x v="1"/>
    <x v="1"/>
    <s v="Network"/>
    <s v="DE.AE-3 | Anomalies and Events  - Event data are aggregated and correlated from multiple sources and sensors_x000a_DE.AE-4 | Anomalies and Events  - Impact of events is determined_x000a_DE.AE-5 | Anomalies and Events  - Incident alert thresholds are established_x000a_DE.CM-1 | Security Continuous Monitoring  - The network is monitored to detect potential cybersecurity events_x000a_DE.CM-3 | Security Continuous Monitoring  - Personnel activity is monitored to detect potential cybersecurity events_x000a_DE.CM-7 | Security Continuous Monitoring  - Monitoring for unauthorized personnel, connections, devices, and software is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
    <s v="Attackers or careless users may access and use systems and applications without being detected."/>
    <s v="Attacks and error may be allowed to occur and escalate if they are not detected. Forensic information may not be available to diagnose incidents and to understand the breadth of impacts."/>
    <s v="Security event alerting thresholds are continuously reviewed and tuned by the Security Operations Team and Artic Wolf MDR. This tuning helps reduce false positives and ensures that alerts are relevant and actionable."/>
    <s v="No gaps identified."/>
    <s v="Failure to tune security event alerting thresholds may result in an overwhelming number of false positives or missed true positive alerts."/>
    <n v="2"/>
    <n v="4"/>
    <s v="Foreseeable, not expected"/>
    <n v="2"/>
    <n v="3"/>
    <n v="3"/>
    <n v="4"/>
    <n v="4"/>
    <n v="8"/>
    <n v="8"/>
    <n v="9"/>
    <n v="4"/>
    <s v="Hacking System"/>
    <n v="8"/>
    <s v="Accept"/>
    <s v=""/>
    <s v=""/>
    <m/>
    <s v=""/>
    <s v="Hacking System"/>
    <n v="2"/>
    <n v="4"/>
    <s v="Foreseeable, not expected"/>
    <n v="2"/>
    <n v="3"/>
    <n v="3"/>
    <n v="4"/>
    <n v="4"/>
    <n v="8"/>
    <n v="8"/>
    <s v=""/>
    <s v=""/>
    <m/>
    <s v=""/>
    <n v="8"/>
    <s v="Monitoring &amp; LoggingOperationNetwork"/>
    <m/>
    <m/>
    <m/>
    <m/>
    <m/>
    <m/>
    <m/>
    <m/>
    <m/>
  </r>
  <r>
    <n v="110"/>
    <x v="0"/>
    <s v="14.1 | Security Awareness and Skills Training | Establish and Maintain a Security Awareness Program (Protect) (IG1, IG2, IG3)"/>
    <s v="Establish and maintain a security awareness program. The purpose of a security awareness program is to educate the enterprise’s workforce on how to interact with enterprise assets and data in a secure manner. Conduct training at hire and, at a minimum, annually. Review and update content annually, or when significant enterprise changes occur that could impact this Safeguard."/>
    <s v="Detect_x000a_Respond_x000a_Recover_x000a_"/>
    <s v="x"/>
    <s v="x"/>
    <s v="x"/>
    <s v="Yes"/>
    <s v="Yes"/>
    <s v="Yes"/>
    <s v="Yes"/>
    <s v="Yes"/>
    <n v="5"/>
    <x v="12"/>
    <x v="0"/>
    <x v="3"/>
    <s v="Users"/>
    <s v="N/A"/>
    <s v="The organization may not be aware of the risk that personnel expose them to."/>
    <s v="Errors in configuration of systems, use of confidential information, and communicating confidential information to others may lead to information breaches."/>
    <s v="A comprehensive security awareness program is established and maintained. Training is conducted for new hires on-site and must be completed within 14 days. PAM users get additional training on the use of privileged accounts and using Delinea. The Security Awareness Program content is reviewed and updated annually or when significant changes occur."/>
    <s v="No gaps identified."/>
    <s v="Failure to establish and maintain a security awareness program may lead to increased susceptibility to social engineering and other security threats."/>
    <n v="2"/>
    <n v="4"/>
    <s v="Foreseeable, not expected"/>
    <n v="2"/>
    <n v="2"/>
    <n v="2"/>
    <n v="2"/>
    <n v="2"/>
    <n v="4"/>
    <n v="4"/>
    <n v="9"/>
    <n v="4"/>
    <s v="Personnel Error"/>
    <n v="4"/>
    <s v="Accept"/>
    <s v=""/>
    <s v=""/>
    <m/>
    <s v=""/>
    <s v="Personnel Error"/>
    <n v="2"/>
    <n v="4"/>
    <s v="Foreseeable, not expected"/>
    <n v="2"/>
    <n v="2"/>
    <n v="2"/>
    <n v="2"/>
    <n v="2"/>
    <n v="4"/>
    <n v="4"/>
    <s v=""/>
    <s v=""/>
    <m/>
    <s v=""/>
    <n v="4"/>
    <s v="Security AwarenessGovernanceUsers"/>
    <m/>
    <m/>
    <m/>
    <m/>
    <s v="x"/>
    <m/>
    <s v="x"/>
    <m/>
    <s v="x"/>
  </r>
  <r>
    <n v="111"/>
    <x v="0"/>
    <s v="14.2 | Security Awareness and Skills Training | Train Workforce Members to Recognize Social Engineering Attacks (Protect) (IG1, IG2, IG3)"/>
    <s v="Train workforce members to recognize social engineering attacks, such as phishing, pre-texting, and tailgating. "/>
    <s v="Detect_x000a_Respond_x000a_Recover_x000a_"/>
    <s v="x"/>
    <s v="x"/>
    <s v="x"/>
    <s v="Yes"/>
    <s v="Yes"/>
    <s v="Yes"/>
    <s v="Yes"/>
    <s v="Yes"/>
    <n v="5"/>
    <x v="12"/>
    <x v="1"/>
    <x v="8"/>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Workforce members are trained to recognize various types of social engineering attacks, including phishing, pre-texting, and tailgating. Phishing campaigns are done monthly through Proofpoint. "/>
    <s v="No gaps identified."/>
    <s v="Failure to train workforce members on recognizing social engineering attacks may increase the risk of successful phishing and other social engineering attacks."/>
    <n v="1"/>
    <n v="4"/>
    <s v="Not Foreseeable"/>
    <n v="1"/>
    <n v="2"/>
    <n v="2"/>
    <n v="2"/>
    <n v="2"/>
    <n v="2"/>
    <n v="2"/>
    <n v="9"/>
    <n v="4"/>
    <s v="Social engineering"/>
    <n v="2"/>
    <s v="Accept"/>
    <s v=""/>
    <s v=""/>
    <m/>
    <s v=""/>
    <s v="Social engineering"/>
    <n v="1"/>
    <n v="4"/>
    <s v="Not Foreseeable"/>
    <n v="1"/>
    <n v="2"/>
    <n v="2"/>
    <n v="2"/>
    <n v="2"/>
    <n v="2"/>
    <n v="2"/>
    <s v=""/>
    <s v=""/>
    <m/>
    <s v=""/>
    <n v="2"/>
    <s v="Security AwarenessOperationUsers"/>
    <m/>
    <m/>
    <m/>
    <m/>
    <s v="x"/>
    <m/>
    <s v="x"/>
    <m/>
    <s v="x"/>
  </r>
  <r>
    <n v="112"/>
    <x v="0"/>
    <s v="14.3 | Security Awareness and Skills Training | Train Workforce Members on Authentication Best Practices (Protect) (IG1, IG2, IG3)"/>
    <s v="Train workforce members on authentication best practices. Example topics include MFA, password composition, and credential management."/>
    <s v="Detect_x000a_Respond_x000a_Recover_x000a_"/>
    <s v="x"/>
    <s v="x"/>
    <s v="x"/>
    <s v="Yes"/>
    <s v="Yes"/>
    <s v="Yes"/>
    <s v="Yes"/>
    <s v="Yes"/>
    <n v="5"/>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Training sessions cover authentication best practices, including the importance of using MFA, creating strong passwords, and managing credentials securely."/>
    <s v="No gaps identified."/>
    <s v="Failure to train workforce members on authentication best practices may lead to weak passwords and poor credential management, increasing the risk of unauthorized access."/>
    <n v="2"/>
    <n v="4"/>
    <s v="Foreseeable, not expected"/>
    <n v="2"/>
    <n v="2"/>
    <n v="2"/>
    <n v="2"/>
    <n v="2"/>
    <n v="4"/>
    <n v="4"/>
    <n v="9"/>
    <n v="4"/>
    <s v="Personnel Error"/>
    <n v="4"/>
    <s v="Accept"/>
    <s v=""/>
    <s v=""/>
    <m/>
    <s v=""/>
    <s v="Personnel Error"/>
    <n v="2"/>
    <n v="4"/>
    <s v="Foreseeable, not expected"/>
    <n v="2"/>
    <n v="2"/>
    <n v="2"/>
    <n v="2"/>
    <n v="2"/>
    <n v="4"/>
    <n v="4"/>
    <s v=""/>
    <s v=""/>
    <m/>
    <s v=""/>
    <n v="4"/>
    <s v="Security AwarenessOperationUsers"/>
    <m/>
    <m/>
    <m/>
    <m/>
    <s v="x"/>
    <m/>
    <s v="x"/>
    <m/>
    <s v="x"/>
  </r>
  <r>
    <n v="113"/>
    <x v="0"/>
    <s v="14.4 | Security Awareness and Skills Training | Train Workforce on Data Handling Best Practices (Protect) (IG1, IG2, IG3)"/>
    <s v="Train workforce members on how to identify and properly store, transfer, archive, and destroy sensitive data. This also includes training workforce members on clear screen and desk best practices, such as locking their screen when they step away from their enterprise asset, erasing physical and virtual whiteboards at the end of meetings, and storing data and assets securely."/>
    <s v="Detect_x000a_Respond_x000a_Recover_x000a_"/>
    <s v="x"/>
    <s v="x"/>
    <s v="x"/>
    <s v="Yes"/>
    <s v="Yes"/>
    <s v="Yes"/>
    <s v="Yes"/>
    <s v="Yes"/>
    <n v="5"/>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Employees are trained on best practices for data handling, including proper storage, transfer, archiving, and destruction of sensitive data. Clear screen and desk policies are enforced, and employees are reminded to lock screens and erase whiteboards after use."/>
    <s v="No gaps identified."/>
    <s v="Failure to train workforce on data handling best practices may result in data mishandling and increased risk of data breaches."/>
    <n v="2"/>
    <n v="4"/>
    <s v="Foreseeable, not expected"/>
    <n v="2"/>
    <n v="2"/>
    <n v="2"/>
    <n v="2"/>
    <n v="2"/>
    <n v="4"/>
    <n v="4"/>
    <n v="9"/>
    <n v="4"/>
    <s v="Personnel Error"/>
    <n v="4"/>
    <s v="Accept"/>
    <s v=""/>
    <s v=""/>
    <m/>
    <s v=""/>
    <s v="Personnel Error"/>
    <n v="2"/>
    <n v="4"/>
    <s v="Foreseeable, not expected"/>
    <n v="2"/>
    <n v="2"/>
    <n v="2"/>
    <n v="2"/>
    <n v="2"/>
    <n v="4"/>
    <n v="4"/>
    <s v=""/>
    <s v=""/>
    <m/>
    <s v=""/>
    <n v="4"/>
    <s v="Security AwarenessOperationUsers"/>
    <m/>
    <m/>
    <m/>
    <m/>
    <s v="x"/>
    <m/>
    <s v="x"/>
    <m/>
    <s v="x"/>
  </r>
  <r>
    <n v="114"/>
    <x v="0"/>
    <s v="14.5 | Security Awareness and Skills Training | Train Workforce Members on Causes of Unintentional Data Exposure (Protect) (IG1, IG2, IG3)"/>
    <s v="Train workforce members to be aware of causes for unintentional data exposure. Example topics include mis-delivery of sensitive data, losing a portable end-user device, or publishing data to unintended audiences."/>
    <s v="Protect"/>
    <s v="x"/>
    <s v="x"/>
    <s v="x"/>
    <s v="Yes"/>
    <s v="No"/>
    <s v="No"/>
    <s v="Yes"/>
    <s v="No"/>
    <n v="2"/>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Training includes awareness of unintentional data exposure causes, such as mis-delivery of sensitive data, loss of portable devices, and accidental publishing of data."/>
    <s v="No gaps identified."/>
    <s v="Failure to train workforce members on causes of unintentional data exposure may lead to accidental data leaks and breaches."/>
    <n v="2"/>
    <n v="4"/>
    <s v="Foreseeable, not expected"/>
    <n v="2"/>
    <n v="2"/>
    <n v="2"/>
    <n v="2"/>
    <n v="2"/>
    <n v="4"/>
    <n v="4"/>
    <n v="9"/>
    <n v="4"/>
    <s v="Personnel Error"/>
    <n v="4"/>
    <s v="Accept"/>
    <s v=""/>
    <s v=""/>
    <m/>
    <s v=""/>
    <s v="Personnel Error"/>
    <n v="2"/>
    <n v="4"/>
    <s v="Foreseeable, not expected"/>
    <n v="2"/>
    <n v="2"/>
    <n v="2"/>
    <n v="2"/>
    <n v="2"/>
    <n v="4"/>
    <n v="4"/>
    <s v=""/>
    <s v=""/>
    <m/>
    <s v=""/>
    <n v="4"/>
    <s v="Security AwarenessOperationUsers"/>
    <m/>
    <m/>
    <m/>
    <m/>
    <m/>
    <m/>
    <m/>
    <m/>
    <m/>
  </r>
  <r>
    <n v="115"/>
    <x v="0"/>
    <s v="14.6 | Security Awareness and Skills Training | Train Workforce Members on Recognizing and Reporting Security Incidents (Protect) (IG1, IG2, IG3)"/>
    <s v="Train workforce members to be able to recognize a potential incident and be able to report such an incident. "/>
    <s v="Detect_x000a_Respond_x000a_Recover_x000a_"/>
    <s v="x"/>
    <s v="x"/>
    <s v="x"/>
    <s v="Yes"/>
    <s v="Yes"/>
    <s v="Yes"/>
    <s v="Yes"/>
    <s v="Yes"/>
    <n v="5"/>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Employees are trained to recognize and report potential security incidents. Currently working on updating the Incident Response Reporting process and training."/>
    <s v="Incident Response Reporting process and training are currently being updated."/>
    <s v="Incomplete training on recognizing and reporting security incidents may delay incident response and increase the impact of security events."/>
    <n v="2"/>
    <n v="3"/>
    <s v="Foreseeable, expected"/>
    <n v="3"/>
    <n v="2"/>
    <n v="2"/>
    <n v="2"/>
    <n v="2"/>
    <n v="6"/>
    <n v="6"/>
    <n v="9"/>
    <n v="3"/>
    <s v="Personnel Error"/>
    <n v="6"/>
    <s v="Accept"/>
    <s v=""/>
    <s v=""/>
    <m/>
    <s v=""/>
    <s v="Personnel Error"/>
    <n v="2"/>
    <n v="3"/>
    <s v="Foreseeable, expected"/>
    <n v="3"/>
    <n v="2"/>
    <n v="2"/>
    <n v="2"/>
    <n v="2"/>
    <n v="6"/>
    <n v="6"/>
    <s v=""/>
    <s v=""/>
    <m/>
    <s v=""/>
    <n v="6"/>
    <s v="Security AwarenessOperationUsers"/>
    <m/>
    <m/>
    <m/>
    <m/>
    <s v="x"/>
    <m/>
    <s v="x"/>
    <m/>
    <s v="x"/>
  </r>
  <r>
    <n v="116"/>
    <x v="0"/>
    <s v="14.7 | Security Awareness and Skills Training | Train Workforce on How to Identify and Report if Their Enterprise Assets are Missing Security Updates (Protect) (IG1, IG2, IG3)"/>
    <s v="Train workforce to understand how to verify and report out-of-date software patches or any failures in automated processes and tools. Part of this training should include notifying IT personnel of any failures in automated processes and tools."/>
    <s v="Protect"/>
    <s v="x"/>
    <s v="x"/>
    <s v="x"/>
    <s v="No"/>
    <s v="No"/>
    <s v="No"/>
    <s v="No"/>
    <s v="No"/>
    <n v="0"/>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Users are not trained to identify security updates because they are done automatically with automated alerts if software is not updated."/>
    <s v="No gaps identified."/>
    <s v="Users may not be aware of or report missing security updates, leading to vulnerabilities remaining unaddressed."/>
    <n v="2"/>
    <n v="4"/>
    <s v="Foreseeable, not expected"/>
    <n v="2"/>
    <n v="2"/>
    <n v="2"/>
    <n v="2"/>
    <n v="2"/>
    <n v="4"/>
    <n v="4"/>
    <n v="9"/>
    <n v="4"/>
    <s v="Personnel Error"/>
    <n v="4"/>
    <s v="Accept"/>
    <s v=""/>
    <s v=""/>
    <m/>
    <s v=""/>
    <s v="Personnel Error"/>
    <n v="2"/>
    <n v="4"/>
    <s v="Foreseeable, not expected"/>
    <n v="2"/>
    <n v="2"/>
    <n v="2"/>
    <n v="2"/>
    <n v="2"/>
    <n v="4"/>
    <n v="4"/>
    <s v=""/>
    <s v=""/>
    <m/>
    <s v=""/>
    <n v="4"/>
    <s v="Security AwarenessOperationUsers"/>
    <m/>
    <m/>
    <m/>
    <m/>
    <m/>
    <m/>
    <m/>
    <m/>
    <m/>
  </r>
  <r>
    <n v="117"/>
    <x v="0"/>
    <s v="14.8 | Security Awareness and Skills Training | Train Workforce on the Dangers of Connecting to and Transmitting Enterprise Data Over Insecure Networks (Protect) (IG1, IG2, IG3)"/>
    <s v="Train workforce members on the dangers of connecting to, and transmitting data over, insecure networks for enterprise activities. If the enterprise has remote workers, training must include guidance to ensure that all users securely configure their home network infrastructure."/>
    <s v="Protect"/>
    <s v="x"/>
    <s v="x"/>
    <s v="x"/>
    <s v="No"/>
    <s v="No"/>
    <s v="No"/>
    <s v="No"/>
    <s v="No"/>
    <n v="0"/>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Training covers the risks of using insecure networks for enterprise activities. Remote workers receive additional guidance on securely configuring their home network infrastructure."/>
    <s v="No gaps identified."/>
    <s v="Failure to train workforce on the dangers of insecure networks may lead to data breaches and unauthorized access to enterprise data."/>
    <n v="2"/>
    <n v="4"/>
    <s v="Foreseeable, not expected"/>
    <n v="2"/>
    <n v="2"/>
    <n v="2"/>
    <n v="2"/>
    <n v="2"/>
    <n v="4"/>
    <n v="4"/>
    <n v="9"/>
    <n v="4"/>
    <s v="Personnel Error"/>
    <n v="4"/>
    <s v="Accept"/>
    <s v=""/>
    <s v=""/>
    <m/>
    <s v=""/>
    <s v="Personnel Error"/>
    <n v="2"/>
    <n v="4"/>
    <s v="Foreseeable, not expected"/>
    <n v="2"/>
    <n v="2"/>
    <n v="2"/>
    <n v="2"/>
    <n v="2"/>
    <n v="4"/>
    <n v="4"/>
    <s v=""/>
    <s v=""/>
    <m/>
    <s v=""/>
    <n v="4"/>
    <s v="Security AwarenessOperationUsers"/>
    <m/>
    <m/>
    <m/>
    <m/>
    <m/>
    <m/>
    <m/>
    <m/>
    <m/>
  </r>
  <r>
    <n v="118"/>
    <x v="0"/>
    <s v="14.9 | Security Awareness and Skills Training | Conduct Role-Specific Security Awareness and Skills Training (Protect) (IG2, IG3)"/>
    <s v="Conduct role-specific security awareness and skills training. Example implementations include secure system administration courses for IT professionals, OWASP® Top 10 vulnerability awareness and prevention training for web application developers, and advanced social engineering awareness training for high-profile roles."/>
    <s v="Detect_x000a_Respond_x000a_Recover_x000a_"/>
    <m/>
    <s v="x"/>
    <s v="x"/>
    <s v="Yes"/>
    <s v="Yes"/>
    <s v="Yes"/>
    <s v="Yes"/>
    <s v="Yes"/>
    <n v="5"/>
    <x v="12"/>
    <x v="1"/>
    <x v="3"/>
    <s v="Users"/>
    <s v="PR.AT-1 | Awareness and Training  - All users are informed and trained _x000a_PR.AT-2 | Awareness and Training  - Privileged users understand roles &amp; responsibilities _x000a_PR.AT-4 | Awareness and Training  - Senior executives understand roles &amp; responsibilities _x000a_PR.AT-5 | Awareness and Training  - Physical and information security personnel understand roles &amp; responsibilities _x000a_"/>
    <s v="Personnel may not be aware of how to perform their roles and responsibilities in a secure manner."/>
    <s v="Personnel may expose sensitive information through careless use of information or access privileges."/>
    <s v="Role-specific security awareness and skills training is provided. Awareness and threats are updated and disseminated through department channels. "/>
    <s v="No gaps identified."/>
    <s v="Failure to conduct role-specific security training may result in inadequate preparedness for specific threats relevant to different roles."/>
    <n v="2"/>
    <n v="4"/>
    <s v="Foreseeable, not expected"/>
    <n v="2"/>
    <n v="2"/>
    <n v="2"/>
    <n v="2"/>
    <n v="2"/>
    <n v="4"/>
    <n v="4"/>
    <n v="9"/>
    <n v="4"/>
    <s v="Personnel Error"/>
    <n v="4"/>
    <s v="Accept"/>
    <s v=""/>
    <s v=""/>
    <m/>
    <s v=""/>
    <s v="Personnel Error"/>
    <n v="2"/>
    <n v="4"/>
    <s v="Foreseeable, not expected"/>
    <n v="2"/>
    <n v="2"/>
    <n v="2"/>
    <n v="2"/>
    <n v="2"/>
    <n v="4"/>
    <n v="4"/>
    <s v=""/>
    <s v=""/>
    <m/>
    <s v=""/>
    <n v="4"/>
    <s v="Security AwarenessOperationUsers"/>
    <m/>
    <m/>
    <m/>
    <m/>
    <s v="x"/>
    <m/>
    <s v="x"/>
    <m/>
    <s v="x"/>
  </r>
  <r>
    <n v="119"/>
    <x v="0"/>
    <s v="15.1 | Service Provider Management | Establish and Maintain an Inventory of Service Providers (Identify) (IG1, IG2, IG3)"/>
    <s v="Establish and maintain an inventory of service providers. The inventory is to list all known service providers, include classification(s), and designate an enterprise contact for each service provider. Review and update the inventory annually, or when significant enterprise changes occur that could impact this Safeguard. "/>
    <s v="Identify"/>
    <s v="x"/>
    <s v="x"/>
    <s v="x"/>
    <s v="No"/>
    <s v="No"/>
    <s v="No"/>
    <s v="No"/>
    <s v="No"/>
    <n v="0"/>
    <x v="13"/>
    <x v="0"/>
    <x v="3"/>
    <s v="Data"/>
    <s v="N/A"/>
    <s v="Management may not understand expectations for third parties to access and/or protect information and information assets in a secure manner."/>
    <s v="Errors while accessing and/or protecting confidential information may lead to information breaches."/>
    <s v="The inventory lists about 70-80 critical vendors based on service provided. Criteria for critical vendors is based on ERP and Inherent Risk Profile. Migration from Vendor Insight to LogicGate is complete, and the inventory is managed in LogicGate."/>
    <s v="No gaps identified."/>
    <s v="Failure to establish and maintain a service provider inventory may result in unmanaged third-party risks."/>
    <n v="2"/>
    <n v="4"/>
    <s v="Foreseeable, not expected"/>
    <n v="2"/>
    <n v="2"/>
    <n v="3"/>
    <n v="3"/>
    <n v="3"/>
    <n v="6"/>
    <n v="6"/>
    <n v="9"/>
    <n v="4"/>
    <s v="Personnel Error"/>
    <n v="6"/>
    <s v="Accept"/>
    <s v=""/>
    <s v=""/>
    <m/>
    <s v=""/>
    <s v="Personnel Error"/>
    <n v="2"/>
    <n v="4"/>
    <s v="Foreseeable, not expected"/>
    <n v="2"/>
    <n v="2"/>
    <n v="3"/>
    <n v="3"/>
    <n v="3"/>
    <n v="6"/>
    <n v="6"/>
    <s v=""/>
    <s v=""/>
    <m/>
    <s v=""/>
    <n v="6"/>
    <s v="Third Party SecurityGovernanceData"/>
    <m/>
    <m/>
    <m/>
    <m/>
    <m/>
    <m/>
    <m/>
    <m/>
    <m/>
  </r>
  <r>
    <n v="120"/>
    <x v="0"/>
    <s v="15.2 | Service Provider Management | Establish and Maintain a Service Provider Management Policy (Identify) (IG2, IG3)"/>
    <s v="Establish and maintain a service provider management policy. Ensure the policy addresses the classification, inventory, assessment, monitoring, and decommissioning of service providers. Review and update the policy annually, or when significant enterprise changes occur that could impact this Safeguard."/>
    <s v="Identify"/>
    <m/>
    <s v="x"/>
    <s v="x"/>
    <s v="No"/>
    <s v="No"/>
    <s v="No"/>
    <s v="No"/>
    <s v="No"/>
    <n v="0"/>
    <x v="13"/>
    <x v="0"/>
    <x v="3"/>
    <s v="Data"/>
    <s v="N/A"/>
    <s v="Management may not understand expectations for third parties to access and/or protect information and information assets in a secure manner."/>
    <s v="Errors while accessing and/or protecting confidential information may lead to information breaches."/>
    <s v="The approach involves Procurement, Legal, and Info Security. Procurement assigns a Purchase Request Number and generates a Security Review. Full Path Review involves tailoring the level of review analysis based on Inherent Risk, and security is almost always involved. Quick Path Review is managed by Procurement, Legal, and Info Security, considering lawsuits, outsourcing, incidents, and BC/DR, and all information is managed in LogicGate."/>
    <s v="No gaps identified."/>
    <s v="Failure to establish and maintain a service provider management policy may lead to inconsistent management of service provider risks."/>
    <n v="2"/>
    <n v="4"/>
    <s v="Foreseeable, not expected"/>
    <n v="2"/>
    <n v="2"/>
    <n v="3"/>
    <n v="3"/>
    <n v="3"/>
    <n v="6"/>
    <n v="6"/>
    <n v="9"/>
    <n v="4"/>
    <s v="Personnel Error"/>
    <n v="6"/>
    <s v="Accept"/>
    <s v=""/>
    <s v=""/>
    <m/>
    <s v=""/>
    <s v="Personnel Error"/>
    <n v="2"/>
    <n v="4"/>
    <s v="Foreseeable, not expected"/>
    <n v="2"/>
    <n v="2"/>
    <n v="3"/>
    <n v="3"/>
    <n v="3"/>
    <n v="6"/>
    <n v="6"/>
    <s v=""/>
    <s v=""/>
    <m/>
    <s v=""/>
    <n v="6"/>
    <s v="Third Party SecurityGovernanceData"/>
    <m/>
    <m/>
    <m/>
    <m/>
    <m/>
    <m/>
    <m/>
    <m/>
    <m/>
  </r>
  <r>
    <n v="121"/>
    <x v="0"/>
    <s v="15.3 | Service Provider Management | Classify Service Providers (Identify) (IG2, IG3)"/>
    <s v="Classify service providers. Classification consideration may include one or more characteristics, such as data sensitivity, data volume, availability requirements, applicable regulations, inherent risk, and mitigated risk. Update and review classifications annually, or when significant enterprise changes occur that could impact this Safeguard."/>
    <s v="Identify"/>
    <m/>
    <s v="x"/>
    <s v="x"/>
    <s v="No"/>
    <s v="No"/>
    <s v="No"/>
    <s v="No"/>
    <s v="No"/>
    <n v="0"/>
    <x v="13"/>
    <x v="1"/>
    <x v="3"/>
    <s v="Data"/>
    <s v="ID.AM-4 | Asset Management  - External information systems are catalogued_x000a_PR.AT-3 | Awareness and Training  - Third-party stakeholders (e.g., suppliers, customers, partners) understand roles &amp; responsibilities _x000a_DE.CM-6 | Security Continuous Monitoring  - External service provider activity is monitored to detect potential cybersecurity events_x000a_"/>
    <s v="Third party suppliers may introduce security risk to the organization."/>
    <s v="Third party vulnerabilities in applications, infrastructure, processes, etc. may compromise information security."/>
    <s v="Full Path Review creates ERP and asks about relationship requirements, tailoring the level of review analysis based on Inherent Risk."/>
    <s v="No gaps identified."/>
    <s v="Failure to classify service providers may result in unmanaged or unrecognized risks from service providers."/>
    <n v="2"/>
    <n v="4"/>
    <s v="Foreseeable, not expected"/>
    <n v="2"/>
    <n v="2"/>
    <n v="3"/>
    <n v="3"/>
    <n v="3"/>
    <n v="6"/>
    <n v="6"/>
    <n v="9"/>
    <n v="4"/>
    <s v="Personnel Error"/>
    <n v="6"/>
    <s v="Accept"/>
    <s v=""/>
    <s v=""/>
    <m/>
    <s v=""/>
    <s v="Personnel Error"/>
    <n v="2"/>
    <n v="4"/>
    <s v="Foreseeable, not expected"/>
    <n v="2"/>
    <n v="2"/>
    <n v="3"/>
    <n v="3"/>
    <n v="3"/>
    <n v="6"/>
    <n v="6"/>
    <s v=""/>
    <s v=""/>
    <m/>
    <s v=""/>
    <n v="6"/>
    <s v="Third Party SecurityOperationData"/>
    <m/>
    <m/>
    <m/>
    <m/>
    <m/>
    <m/>
    <m/>
    <m/>
    <m/>
  </r>
  <r>
    <n v="122"/>
    <x v="0"/>
    <s v="15.4 | Service Provider Management | Ensure Service Provider Contracts Include Security Requirements (Protect) (IG2, IG3)"/>
    <s v="Ensure service provider contracts include security requirements. Example requirements may include minimum security program requirements, security incident and/or data breach notification and response, data encryption requirements, and data disposal commitments. These security requirements must be consistent with the enterprise’s service provider management policy. Review service provider contracts annually to ensure contracts are not missing security requirements."/>
    <s v="Protect"/>
    <m/>
    <s v="x"/>
    <s v="x"/>
    <s v="No"/>
    <s v="No"/>
    <s v="No"/>
    <s v="No"/>
    <s v="No"/>
    <n v="0"/>
    <x v="13"/>
    <x v="1"/>
    <x v="3"/>
    <s v="Data"/>
    <s v="ID.AM-4 | Asset Management  - External information systems are catalogued_x000a_PR.AT-3 | Awareness and Training  - Third-party stakeholders (e.g., suppliers, customers, partners) understand roles &amp; responsibilities _x000a_DE.CM-6 | Security Continuous Monitoring  - External service provider activity is monitored to detect potential cybersecurity events_x000a_"/>
    <s v="Third party suppliers may introduce security risk to the organization."/>
    <s v="Third party vulnerabilities in applications, infrastructure, processes, etc. may compromise information security."/>
    <s v="The responsibility for vendor notification and contracts includes Notification Language. After all reviews, TPRM Risk Review approves and coordinates with Procurement and Legal for contractual review. Once approved by Legal and Procurement, it can be initiated."/>
    <s v="No gaps identified."/>
    <s v="Failure to ensure service provider contracts include security requirements may result in inadequate protection of enterprise data and resources."/>
    <n v="2"/>
    <n v="4"/>
    <s v="Foreseeable, not expected"/>
    <n v="2"/>
    <n v="2"/>
    <n v="3"/>
    <n v="3"/>
    <n v="3"/>
    <n v="6"/>
    <n v="6"/>
    <n v="9"/>
    <n v="4"/>
    <s v="Personnel Error"/>
    <n v="6"/>
    <s v="Accept"/>
    <s v=""/>
    <s v=""/>
    <m/>
    <s v=""/>
    <s v="Personnel Error"/>
    <n v="2"/>
    <n v="4"/>
    <s v="Foreseeable, not expected"/>
    <n v="2"/>
    <n v="2"/>
    <n v="3"/>
    <n v="3"/>
    <n v="3"/>
    <n v="6"/>
    <n v="6"/>
    <s v=""/>
    <s v=""/>
    <m/>
    <s v=""/>
    <n v="6"/>
    <s v="Third Party SecurityOperationData"/>
    <m/>
    <m/>
    <m/>
    <m/>
    <m/>
    <m/>
    <m/>
    <m/>
    <m/>
  </r>
  <r>
    <n v="123"/>
    <x v="0"/>
    <s v="15.5 | Service Provider Management | Assess Service Providers (Identify) (IG3)"/>
    <s v="Assess service providers consistent with the enterprise’s service provider management policy. Assessment scope may vary based on classification(s), and may include review of standardized assessment reports, such as Service Organization Control 2 (SOC 2) and Payment Card Industry (PCI) Attestation of Compliance (AoC), customized questionnaires, or other appropriately rigorous processes. Reassess service providers annually, at a minimum, or with new and renewed contracts."/>
    <s v="Identify"/>
    <m/>
    <m/>
    <s v="x"/>
    <s v="No"/>
    <s v="No"/>
    <s v="No"/>
    <s v="No"/>
    <s v="No"/>
    <n v="0"/>
    <x v="13"/>
    <x v="1"/>
    <x v="3"/>
    <s v="Data"/>
    <s v="ID.AM-4 | Asset Management  - External information systems are catalogued_x000a_PR.AT-3 | Awareness and Training  - Third-party stakeholders (e.g., suppliers, customers, partners) understand roles &amp; responsibilities _x000a_DE.CM-6 | Security Continuous Monitoring  - External service provider activity is monitored to detect potential cybersecurity events_x000a_"/>
    <s v="Third party suppliers may introduce security risk to the organization."/>
    <s v="Third party vulnerabilities in applications, infrastructure, processes, etc. may compromise information security."/>
    <s v="Assessments are done every 12 months. Re-assessments are performed by engagements; auto-renewals and perpetual engagements are not done. Service changes or new engagements are the only ones assessed at this time."/>
    <s v="No gaps identified."/>
    <s v="Failure to assess service providers may lead to undetected risks and non-compliance with security requirements."/>
    <n v="2"/>
    <n v="4"/>
    <s v="Foreseeable, not expected"/>
    <n v="2"/>
    <n v="2"/>
    <n v="3"/>
    <n v="3"/>
    <n v="3"/>
    <n v="6"/>
    <n v="6"/>
    <n v="9"/>
    <n v="4"/>
    <s v="Personnel Error"/>
    <n v="6"/>
    <s v="Accept"/>
    <s v=""/>
    <s v=""/>
    <m/>
    <s v=""/>
    <s v="Personnel Error"/>
    <n v="2"/>
    <n v="4"/>
    <s v="Foreseeable, not expected"/>
    <n v="2"/>
    <n v="2"/>
    <n v="3"/>
    <n v="3"/>
    <n v="3"/>
    <n v="6"/>
    <n v="6"/>
    <s v=""/>
    <s v=""/>
    <m/>
    <s v=""/>
    <n v="6"/>
    <s v="Third Party SecurityOperationData"/>
    <m/>
    <m/>
    <m/>
    <m/>
    <m/>
    <m/>
    <m/>
    <m/>
    <m/>
  </r>
  <r>
    <n v="124"/>
    <x v="0"/>
    <s v="15.6 | Service Provider Management | Monitor Service Providers (Detect) (IG3)"/>
    <s v="Monitor service providers consistent with the enterprise’s service provider management policy. Monitoring may include periodic reassessment of service provider compliance, monitoring service provider release notes, and dark web monitoring."/>
    <s v="Detect"/>
    <m/>
    <m/>
    <s v="x"/>
    <s v="No"/>
    <s v="No"/>
    <s v="No"/>
    <s v="No"/>
    <s v="No"/>
    <n v="0"/>
    <x v="13"/>
    <x v="1"/>
    <x v="1"/>
    <s v="Data"/>
    <s v="ID.AM-4 | Asset Management  - External information systems are catalogued_x000a_PR.AT-3 | Awareness and Training  - Third-party stakeholders (e.g., suppliers, customers, partners) understand roles &amp; responsibilities _x000a_DE.CM-6 | Security Continuous Monitoring  - External service provider activity is monitored to detect potential cybersecurity events_x000a_"/>
    <s v="Third party suppliers may introduce security risk to the organization."/>
    <s v="Third party vulnerabilities in applications, infrastructure, processes, etc. may compromise information security."/>
    <s v="Most of the responsibility falls on app owners. ISOW and CISA threat feeds are used. Vendors are not continuously monitored."/>
    <s v="Lack of continuous monitoring of service providers."/>
    <s v="Failure to continuously monitor service providers may allow emerging risks to go undetected."/>
    <n v="2"/>
    <n v="2"/>
    <s v="Common"/>
    <n v="4"/>
    <n v="2"/>
    <n v="3"/>
    <n v="3"/>
    <n v="3"/>
    <n v="12"/>
    <n v="12"/>
    <n v="9"/>
    <n v="2"/>
    <s v="Hacking System"/>
    <n v="12"/>
    <s v="Manage"/>
    <s v="Implement Information Security Third Party Security"/>
    <s v="Establish, manage and validate operational activities for Third Party Security including:_x000a_ * implementing Third Party Security management process for the organization, including vendor risk assessment, relationship management, procurement due diligence, and agreement review;_x000a_ * implementing third party partner onboarding/offboarding procedures;_x000a_ * restricting Third Party Security access including physical and remote access, data access, production system access;_x000a_ * monitoring of Third Party activity, etc.;_x000a_ * responding to Third Party Security incidents; and _x000a_ * reporting of Third Party Security performance metrics_x000a_"/>
    <s v="Implement continuous monitoring solutions for service providers, leveraging automated tools to track compliance and receive real-time alerts on security issues."/>
    <s v="Estimated Start - TBD_x000a_Estimated Completion - TBD_x000a_-----_x000a_"/>
    <s v="Hacking System"/>
    <n v="2"/>
    <n v="4"/>
    <s v="Foreseeable, not expected"/>
    <n v="2"/>
    <n v="2"/>
    <n v="3"/>
    <n v="3"/>
    <n v="3"/>
    <n v="6"/>
    <n v="6"/>
    <s v="Pending"/>
    <s v="TBD"/>
    <m/>
    <s v=""/>
    <n v="12"/>
    <s v="Third Party SecurityOperationData"/>
    <m/>
    <m/>
    <m/>
    <m/>
    <m/>
    <m/>
    <m/>
    <m/>
    <m/>
  </r>
  <r>
    <n v="125"/>
    <x v="0"/>
    <s v="15.7 | Service Provider Management | Securely Decommission Service Providers (Protect) (IG3)"/>
    <s v="Securely decommission service providers. Example considerations include user and service account deactivation, termination of data flows, and secure disposal of enterprise data within service provider systems. "/>
    <s v="Protect"/>
    <m/>
    <m/>
    <s v="x"/>
    <s v="Yes"/>
    <s v="No"/>
    <s v="Yes"/>
    <s v="Yes"/>
    <s v="No"/>
    <n v="3"/>
    <x v="13"/>
    <x v="1"/>
    <x v="3"/>
    <s v="Data"/>
    <s v="ID.AM-4 | Asset Management  - External information systems are catalogued_x000a_PR.AT-3 | Awareness and Training  - Third-party stakeholders (e.g., suppliers, customers, partners) understand roles &amp; responsibilities _x000a_DE.CM-6 | Security Continuous Monitoring  - External service provider activity is monitored to detect potential cybersecurity events_x000a_"/>
    <s v="Third party suppliers may introduce security risk to the organization."/>
    <s v="Third party vulnerabilities in applications, infrastructure, processes, etc. may compromise information security."/>
    <s v="Service providers are securely decommissioned, including deactivation of user and service accounts, termination of data flows, and secure disposal of enterprise data within service provider systems."/>
    <s v="No gaps identified."/>
    <s v="Failure to securely decommission service providers may lead to unauthorized access to enterprise data and resources."/>
    <n v="2"/>
    <n v="4"/>
    <s v="Foreseeable, not expected"/>
    <n v="2"/>
    <n v="2"/>
    <n v="3"/>
    <n v="3"/>
    <n v="3"/>
    <n v="6"/>
    <n v="6"/>
    <n v="9"/>
    <n v="4"/>
    <s v="Personnel Error"/>
    <n v="6"/>
    <s v="Accept"/>
    <s v=""/>
    <s v=""/>
    <m/>
    <s v=""/>
    <s v="Personnel Error"/>
    <n v="2"/>
    <n v="4"/>
    <s v="Foreseeable, not expected"/>
    <n v="2"/>
    <n v="2"/>
    <n v="3"/>
    <n v="3"/>
    <n v="3"/>
    <n v="6"/>
    <n v="6"/>
    <s v=""/>
    <s v=""/>
    <m/>
    <s v=""/>
    <n v="6"/>
    <s v="Third Party SecurityOperationData"/>
    <m/>
    <m/>
    <m/>
    <m/>
    <m/>
    <m/>
    <m/>
    <m/>
    <m/>
  </r>
  <r>
    <n v="126"/>
    <x v="0"/>
    <s v="16.1 | Application Software Security | Establish and Maintain a Secure Application Development Process (Protect) (IG2, IG3)"/>
    <s v="Establish and maintain a secure application development process. In the process, address such items as: secure application design standards, secure coding practices, developer training, vulnerability management, security of third-party code, and application security testing procedures. Review and update documentation annually, or when significant enterprise changes occur that could impact this Safeguard."/>
    <s v="Protect"/>
    <m/>
    <s v="x"/>
    <s v="x"/>
    <s v="Yes"/>
    <s v="Yes"/>
    <s v="Yes"/>
    <s v="Yes"/>
    <s v="Yes"/>
    <n v="5"/>
    <x v="14"/>
    <x v="0"/>
    <x v="2"/>
    <s v="Applications"/>
    <s v="N/A"/>
    <s v="Personnel may not understand how their applications create vulnerabilities."/>
    <s v="Hackers and malware may compromise applications through avoidable vulnerabilities."/>
    <s v="DevOps uses GitHub Advanced Security for scanning. Developers create pull requests, peer-reviewed by at least two developers for functionality, quality, and design. Once approved, it goes to Dev for testing. Scrum Team creates Change Requests for CAB approval, then IT Operations release to Production. No scheduled training currently provided. Developers have dedicated Developer VMs in Azure."/>
    <s v="No gaps identified."/>
    <s v="Lack of secure coding training may result in developers not following best practices, increasing the risk of vulnerabilities."/>
    <n v="1"/>
    <n v="4"/>
    <s v="Not Foreseeable"/>
    <n v="1"/>
    <n v="3"/>
    <n v="3"/>
    <n v="4"/>
    <n v="4"/>
    <n v="4"/>
    <n v="4"/>
    <n v="9"/>
    <n v="4"/>
    <s v="Hacking Web"/>
    <n v="4"/>
    <s v="Accept"/>
    <s v=""/>
    <s v=""/>
    <m/>
    <s v=""/>
    <s v="Hacking Web"/>
    <n v="1"/>
    <n v="4"/>
    <s v="Not Foreseeable"/>
    <n v="1"/>
    <n v="3"/>
    <n v="3"/>
    <n v="4"/>
    <n v="4"/>
    <n v="4"/>
    <n v="4"/>
    <s v=""/>
    <s v=""/>
    <m/>
    <s v=""/>
    <n v="4"/>
    <s v="Secure Application DevelopmentGovernanceApplications"/>
    <s v="x"/>
    <m/>
    <m/>
    <m/>
    <m/>
    <m/>
    <m/>
    <m/>
    <m/>
  </r>
  <r>
    <n v="127"/>
    <x v="0"/>
    <s v="16.2 | Application Software Security | Establish and Maintain a Process to Accept and Address Software Vulnerabilities (Protect) (IG2, IG3)"/>
    <s v="Establish and maintain a process to accept and address reports of software vulnerabilities, including providing a means for external entities to report. The process is to include such items as: a vulnerability handling policy that identifies reporting process, responsible party for handling vulnerability reports, and a process for intake, assignment, remediation, and remediation testing. As part of the process, use a vulnerability tracking system that includes severity ratings, and metrics for measuring timing for identification, analysis, and remediation of vulnerabilities. Review and update documentation annually, or when significant enterprise changes occur that could impact this Safeguard._x000a__x000a_Third-party application developers need to consider this an externally-facing policy that helps to set expectations for outside stakeholders. "/>
    <s v="Protect"/>
    <m/>
    <s v="x"/>
    <s v="x"/>
    <s v="Yes"/>
    <s v="No"/>
    <s v="Yes"/>
    <s v="Yes"/>
    <s v="Yes"/>
    <n v="4"/>
    <x v="1"/>
    <x v="0"/>
    <x v="2"/>
    <s v="Applications"/>
    <s v="N/A"/>
    <s v="The organization may not be aware of opportunities for data breaches or system failure by malware, attackers, or user error."/>
    <s v="Hackers may launch multi-phase attacks on network systems by taking advantage of a series of vulnerabilities that permit sophisticated attacks."/>
    <s v="Not currently scanning for vulnerabilities in SDLC; working on GitHub for scanning. Currently using GitHub Advanced Security for DevOps. Looking at Microsoft Defender for IaaC scanning."/>
    <s v="Lack of a complete vulnerability scanning process in SDLC."/>
    <s v="Incomplete vulnerability scanning in SDLC may allow vulnerabilities to go undetected and unaddressed, increasing security risks."/>
    <n v="1"/>
    <n v="2"/>
    <s v="Foreseeable, expected"/>
    <n v="3"/>
    <n v="3"/>
    <n v="3"/>
    <n v="4"/>
    <n v="4"/>
    <n v="12"/>
    <n v="12"/>
    <n v="9"/>
    <n v="2"/>
    <s v="Hacking Web"/>
    <n v="12"/>
    <s v="Manage"/>
    <s v="Establish Organizational Information Security Vulnerability Management"/>
    <s v="Ensure that policies, standards, etc. establish the foundation for Information Security Vulnerability Management:_x000a_ * establish the Vulnerability Management requirements including, methodology and approach, risk assessment criteria, documentation requirements, remediation planning and management, management review;_x000a_ * define reporting and performance measurement;_x000a_ * review, update, and approval of Vulnerability Management documentation; and_x000a_ * communication of Vulnerability Management policies and processes._x000a_"/>
    <s v="Complete the implementation of vulnerability scanning within the SDLC using GitHub Advanced Security and Microsoft Defender for IaaC, ensuring all code and infrastructure vulnerabilities are identified and addressed."/>
    <s v="Estimated Start - TBD_x000a_Estimated Completion - TBD_x000a_-----_x000a_"/>
    <s v="Hacking Web"/>
    <n v="1"/>
    <n v="3"/>
    <s v="Foreseeable, not expected"/>
    <n v="2"/>
    <n v="3"/>
    <n v="3"/>
    <n v="4"/>
    <n v="4"/>
    <n v="8"/>
    <n v="8"/>
    <s v="Pending"/>
    <s v="TBD"/>
    <m/>
    <s v=""/>
    <n v="12"/>
    <s v="Vulnerability ManagementGovernanceApplications"/>
    <s v="x"/>
    <m/>
    <m/>
    <m/>
    <m/>
    <m/>
    <m/>
    <m/>
    <m/>
  </r>
  <r>
    <n v="128"/>
    <x v="0"/>
    <s v="16.3 | Application Software Security | Perform Root Cause Analysis on Security Vulnerabilities (Protect) (IG2, IG3)"/>
    <s v="Perform root cause analysis on security vulnerabilities. When reviewing vulnerabilities, root cause analysis is the task of evaluating underlying issues that create vulnerabilities in code, and allows development teams to move beyond just fixing individual vulnerabilities as they arise."/>
    <s v="Protect"/>
    <m/>
    <s v="x"/>
    <s v="x"/>
    <s v="Yes"/>
    <s v="No"/>
    <s v="Yes"/>
    <s v="Yes"/>
    <s v="Yes"/>
    <n v="4"/>
    <x v="1"/>
    <x v="1"/>
    <x v="2"/>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Security initiates an application penetration test for big projects. Annual pen tests are conducted for externally exposed applications or those with API calls."/>
    <s v="No gaps identified."/>
    <s v="Failure to perform root cause analysis on security vulnerabilities may result in repeated vulnerabilities and increased security risks."/>
    <n v="1"/>
    <n v="4"/>
    <s v="Not Foreseeable"/>
    <n v="1"/>
    <n v="3"/>
    <n v="3"/>
    <n v="4"/>
    <n v="4"/>
    <n v="4"/>
    <n v="4"/>
    <n v="9"/>
    <n v="4"/>
    <s v="Hacking Web"/>
    <n v="4"/>
    <s v="Accept"/>
    <s v=""/>
    <s v=""/>
    <m/>
    <s v=""/>
    <s v="Hacking Web"/>
    <n v="1"/>
    <n v="4"/>
    <s v="Not Foreseeable"/>
    <n v="1"/>
    <n v="3"/>
    <n v="3"/>
    <n v="4"/>
    <n v="4"/>
    <n v="4"/>
    <n v="4"/>
    <s v=""/>
    <s v=""/>
    <m/>
    <s v=""/>
    <n v="4"/>
    <s v="Vulnerability ManagementOperationApplications"/>
    <s v="x"/>
    <m/>
    <m/>
    <m/>
    <m/>
    <m/>
    <m/>
    <m/>
    <m/>
  </r>
  <r>
    <n v="129"/>
    <x v="0"/>
    <s v="16.4 | Application Software Security | Establish and Manage an Inventory of Third-Party Software Components (Protect) (IG2, IG3)"/>
    <s v="Establish and manage an updated inventory of third-party components used in development, often referred to as a “bill of materials,” as well as components slated for future use. This inventory is to include any risks that each third-party component could pose. Evaluate the list at least monthly to identify any changes or updates to these components, and validate that the component is still supported. "/>
    <s v="Protect"/>
    <m/>
    <s v="x"/>
    <s v="x"/>
    <s v="Yes"/>
    <s v="No"/>
    <s v="Yes"/>
    <s v="Yes"/>
    <s v="Yes"/>
    <n v="4"/>
    <x v="14"/>
    <x v="0"/>
    <x v="2"/>
    <s v="Applications"/>
    <s v="N/A"/>
    <s v="Personnel may not understand how their applications create vulnerabilities."/>
    <s v="Hackers and malware may compromise applications through avoidable vulnerabilities."/>
    <s v="Third-party software is managed but not at the component-level. "/>
    <s v="Lack of detailed inventory of third-party software components."/>
    <s v="Failure to manage a detailed inventory of third-party software components may lead to unrecognized risks and vulnerabilities."/>
    <n v="1"/>
    <n v="2"/>
    <s v="Foreseeable, expected"/>
    <n v="3"/>
    <n v="3"/>
    <n v="3"/>
    <n v="4"/>
    <n v="4"/>
    <n v="12"/>
    <n v="12"/>
    <n v="9"/>
    <n v="2"/>
    <s v="Hacking Web"/>
    <n v="12"/>
    <s v="Manage"/>
    <s v="Establish Organizational Information Security Secure Application Development"/>
    <s v="Ensure that policies, standards, etc. establish the foundation for Secure Application Development:_x000a_ * define Secure Application Development requirements including architecture, development integration, compliance obligations, outsourcing, data protection, etc.;_x000a_ * establish Secure Application Development procedures in support of the System Development Lifecycle (SDLC), including initiation, design, development, testing, production migration, and support;_x000a_ * require periodic training for Application Development and Support resources to address evolving secure coding techniques;_x000a_ * define reporting and performance measurement;_x000a_ * review, update, and approval of Secure Application Development documentation; and_x000a_ * communication of Secure Application Development policies and processes._x000a_"/>
    <s v="Create and maintain a detailed inventory of third-party software components, including risk assessments and monthly evaluations to ensure all components are current and secure."/>
    <s v="Estimated Start - TBD_x000a_Estimated Completion - TBD_x000a_-----_x000a_"/>
    <s v="Hacking Web"/>
    <n v="1"/>
    <n v="3"/>
    <s v="Foreseeable, not expected"/>
    <n v="2"/>
    <n v="3"/>
    <n v="3"/>
    <n v="4"/>
    <n v="4"/>
    <n v="8"/>
    <n v="8"/>
    <s v="Pending"/>
    <s v="TBD"/>
    <m/>
    <s v=""/>
    <n v="12"/>
    <s v="Secure Application DevelopmentGovernanceApplications"/>
    <s v="x"/>
    <m/>
    <m/>
    <m/>
    <m/>
    <m/>
    <m/>
    <m/>
    <m/>
  </r>
  <r>
    <n v="130"/>
    <x v="0"/>
    <s v="16.5 | Application Software Security | Use Up-to-Date and Trusted Third-Party Software Components (Protect) (IG2, IG3)"/>
    <s v="Use up-to-date and trusted third-party software components. When possible, choose established and proven frameworks and libraries that provide adequate security. Acquire these components from trusted sources or evaluate the software for vulnerabilities before use."/>
    <s v="Protect"/>
    <m/>
    <s v="x"/>
    <s v="x"/>
    <s v="Yes"/>
    <s v="No"/>
    <s v="Yes"/>
    <s v="Yes"/>
    <s v="Yes"/>
    <n v="4"/>
    <x v="14"/>
    <x v="1"/>
    <x v="2"/>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Third-party software is managed and updated through the software management tools. "/>
    <s v="No gaps identified."/>
    <s v="Failure to use up-to-date and trusted third-party software components may increase the risk of vulnerabilities and security breaches."/>
    <n v="1"/>
    <n v="4"/>
    <s v="Not Foreseeable"/>
    <n v="1"/>
    <n v="3"/>
    <n v="3"/>
    <n v="4"/>
    <n v="4"/>
    <n v="4"/>
    <n v="4"/>
    <n v="9"/>
    <n v="4"/>
    <s v="Hacking Web"/>
    <n v="4"/>
    <s v="Accept"/>
    <s v=""/>
    <s v=""/>
    <m/>
    <s v=""/>
    <s v="Hacking Web"/>
    <n v="1"/>
    <n v="4"/>
    <s v="Not Foreseeable"/>
    <n v="1"/>
    <n v="3"/>
    <n v="3"/>
    <n v="4"/>
    <n v="4"/>
    <n v="4"/>
    <n v="4"/>
    <s v=""/>
    <s v=""/>
    <m/>
    <s v=""/>
    <n v="4"/>
    <s v="Secure Application DevelopmentOperationApplications"/>
    <s v="x"/>
    <m/>
    <m/>
    <m/>
    <m/>
    <m/>
    <m/>
    <m/>
    <m/>
  </r>
  <r>
    <n v="131"/>
    <x v="0"/>
    <s v="16.6 | Application Software Security | Establish and Maintain a Severity Rating System and Process for Application Vulnerabilities (Protect) (IG2, IG3)"/>
    <s v="Establish and maintain a severity rating system and process for application vulnerabilities that facilitates prioritizing the order in which discovered vulnerabilities are fixed. This process includes setting a minimum level of security acceptability for releasing code or applications. Severity ratings bring a systematic way of triaging vulnerabilities that improves risk management and helps ensure the most severe bugs are fixed first. Review and update the system and process annually."/>
    <s v="Protect"/>
    <m/>
    <s v="x"/>
    <s v="x"/>
    <s v="No"/>
    <s v="No"/>
    <s v="No"/>
    <s v="No"/>
    <s v="No"/>
    <n v="0"/>
    <x v="1"/>
    <x v="0"/>
    <x v="2"/>
    <s v="Applications"/>
    <s v="N/A"/>
    <s v="The organization may not be aware of opportunities for data breaches or system failure by malware, attackers, or user error."/>
    <s v="Hackers may launch multi-phase attacks on network systems by taking advantage of a series of vulnerabilities that permit sophisticated attacks."/>
    <s v="Vulnerability Severity Rating System has not been established as the GitHub scanning efforts are not yet complete."/>
    <s v="Lack of a severity rating system for application vulnerabilities."/>
    <s v="Failure to establish a severity rating system may result in ineffective prioritization and remediation of vulnerabilities."/>
    <n v="1"/>
    <n v="2"/>
    <s v="Foreseeable, expected"/>
    <n v="3"/>
    <n v="2"/>
    <n v="2"/>
    <n v="2"/>
    <n v="2"/>
    <n v="6"/>
    <n v="6"/>
    <n v="9"/>
    <n v="2"/>
    <s v="Hacking Web"/>
    <n v="6"/>
    <s v="Accept"/>
    <s v=""/>
    <s v=""/>
    <m/>
    <s v=""/>
    <s v="Hacking Web"/>
    <n v="1"/>
    <n v="2"/>
    <s v="Foreseeable, expected"/>
    <n v="3"/>
    <n v="2"/>
    <n v="2"/>
    <n v="2"/>
    <n v="2"/>
    <n v="6"/>
    <n v="6"/>
    <s v=""/>
    <s v=""/>
    <m/>
    <s v=""/>
    <n v="6"/>
    <s v="Vulnerability ManagementGovernanceApplications"/>
    <m/>
    <m/>
    <m/>
    <m/>
    <m/>
    <m/>
    <m/>
    <m/>
    <m/>
  </r>
  <r>
    <n v="132"/>
    <x v="0"/>
    <s v="16.7 | Application Software Security | Use Standard Hardening Configuration Templates for Application Infrastructure (Protect) (IG2, IG3)"/>
    <s v="Use standard, industry-recommended hardening configuration templates for application infrastructure components. This includes underlying servers, databases, and web servers, and applies to cloud containers, Platform as a Service (PaaS) components, and SaaS components. Do not allow in-house developed software to weaken configuration hardening."/>
    <s v="Protect"/>
    <m/>
    <s v="x"/>
    <s v="x"/>
    <s v="No"/>
    <s v="No"/>
    <s v="No"/>
    <s v="No"/>
    <s v="No"/>
    <n v="0"/>
    <x v="7"/>
    <x v="1"/>
    <x v="2"/>
    <s v="Applications"/>
    <s v="PR.IP-1 | Information Protection Processes and Procedures  - A baseline configuration of information technology/industrial control systems is created and maintained_x000a_"/>
    <s v="Systems may provide vulnerabilities to attackers and malware, exposing system integrity, availability, or confidentiality of data."/>
    <s v="Hackers and malware may compromise sensitive information or system functionality by taking advantage of avoidable vulnerabilities._x000a__x000a_"/>
    <s v="Developers have their own Developer VM in Azure, with dedicated Developer Configuration profile. "/>
    <s v="No gaps identified."/>
    <s v="Failure to use standard hardening configuration templates may increase the risk of security misconfigurations and vulnerabilities."/>
    <n v="1"/>
    <n v="4"/>
    <s v="Not Foreseeable"/>
    <n v="1"/>
    <n v="3"/>
    <n v="3"/>
    <n v="4"/>
    <n v="4"/>
    <n v="4"/>
    <n v="4"/>
    <n v="9"/>
    <n v="4"/>
    <s v="Hacking Web"/>
    <n v="4"/>
    <s v="Accept"/>
    <s v=""/>
    <s v=""/>
    <m/>
    <s v=""/>
    <s v="Hacking Web"/>
    <n v="1"/>
    <n v="4"/>
    <s v="Not Foreseeable"/>
    <n v="1"/>
    <n v="3"/>
    <n v="3"/>
    <n v="4"/>
    <n v="4"/>
    <n v="4"/>
    <n v="4"/>
    <s v=""/>
    <s v=""/>
    <m/>
    <s v=""/>
    <n v="4"/>
    <s v="System ManagementOperationApplications"/>
    <m/>
    <m/>
    <m/>
    <m/>
    <m/>
    <m/>
    <m/>
    <m/>
    <m/>
  </r>
  <r>
    <n v="133"/>
    <x v="0"/>
    <s v="16.8 | Application Software Security | Separate Production and Non-Production Systems (Protect) (IG2, IG3)"/>
    <s v="Maintain separate environments for production and non-production systems."/>
    <s v="Protect"/>
    <m/>
    <s v="x"/>
    <s v="x"/>
    <s v="Yes"/>
    <s v="Yes"/>
    <s v="Yes"/>
    <s v="Yes"/>
    <s v="Yes"/>
    <n v="5"/>
    <x v="14"/>
    <x v="1"/>
    <x v="2"/>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Dev is in South Central and North Central, traffic either goes into one or the other but both are hot. Application Service Environment is just a containerized construct to separate the prod and non-prod systems. "/>
    <s v="No gaps identified."/>
    <s v="Failure to separate production and non-production systems may lead to data contamination and increased security risks."/>
    <n v="1"/>
    <n v="4"/>
    <s v="Not Foreseeable"/>
    <n v="1"/>
    <n v="3"/>
    <n v="3"/>
    <n v="4"/>
    <n v="4"/>
    <n v="4"/>
    <n v="4"/>
    <n v="9"/>
    <n v="4"/>
    <s v="Hacking Web"/>
    <n v="4"/>
    <s v="Accept"/>
    <s v=""/>
    <s v=""/>
    <m/>
    <s v=""/>
    <s v="Hacking Web"/>
    <n v="1"/>
    <n v="4"/>
    <s v="Not Foreseeable"/>
    <n v="1"/>
    <n v="3"/>
    <n v="3"/>
    <n v="4"/>
    <n v="4"/>
    <n v="4"/>
    <n v="4"/>
    <s v=""/>
    <s v=""/>
    <m/>
    <s v=""/>
    <n v="4"/>
    <s v="Secure Application DevelopmentOperationApplications"/>
    <s v="x"/>
    <m/>
    <m/>
    <m/>
    <m/>
    <m/>
    <m/>
    <m/>
    <m/>
  </r>
  <r>
    <n v="134"/>
    <x v="0"/>
    <s v="16.9 | Application Software Security | Train Developers in Application Security Concepts and Secure Coding (Protect) (IG2, IG3)"/>
    <s v="Ensure that all software development personnel receive training in writing secure code for their specific development environment and responsibilities. Training can include general security principles and application security standard practices. Conduct training at least annually and design in a way to promote security within the development team, and build a culture of security among the developers."/>
    <s v="Protect"/>
    <m/>
    <s v="x"/>
    <s v="x"/>
    <s v="Yes"/>
    <s v="Yes"/>
    <s v="Yes"/>
    <s v="Yes"/>
    <s v="Yes"/>
    <n v="5"/>
    <x v="14"/>
    <x v="1"/>
    <x v="2"/>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No scheduled training currently provided."/>
    <s v="Lack of scheduled training for developers on secure coding practices."/>
    <s v="Failure to train developers on secure coding may result in insecure code and increased vulnerabilities."/>
    <n v="1"/>
    <n v="1"/>
    <s v="Common"/>
    <n v="4"/>
    <n v="3"/>
    <n v="3"/>
    <n v="4"/>
    <n v="4"/>
    <n v="16"/>
    <n v="16"/>
    <n v="9"/>
    <n v="1"/>
    <s v="Hacking Web"/>
    <n v="16"/>
    <s v="Manage"/>
    <s v="Implement Information Security Secure Application Development"/>
    <s v="Establish, manage and validate operational activities for Secure Application Development including:_x000a_ * training Application Development and Support resources;_x000a_ * incorporating Secure Development concepts, techniques, and compliance obligations in development and support initiatives;_x000a_ * enforcing Secure Application Development requirements when outsourcing application development and support;_x000a_ * include Secure Application Development procedures in the System Development Lifecycle (SDLC), during initiation, design, development, testing, production migration, and support;_x000a_ * reporting of Secure Application Development performance metrics_x000a_"/>
    <s v="Implement an annual training program for developers focused on secure coding practices and application security concepts, reinforcing these principles through regular updates and refreshers."/>
    <s v="Estimated Start - TBD_x000a_Estimated Completion - TBD_x000a_-----_x000a_"/>
    <s v="Hacking Web"/>
    <n v="1"/>
    <n v="4"/>
    <s v="Not Foreseeable"/>
    <n v="1"/>
    <n v="3"/>
    <n v="3"/>
    <n v="4"/>
    <n v="4"/>
    <n v="4"/>
    <n v="4"/>
    <s v="Pending"/>
    <s v="TBD"/>
    <m/>
    <s v=""/>
    <n v="16"/>
    <s v="Secure Application DevelopmentOperationApplications"/>
    <s v="x"/>
    <m/>
    <m/>
    <m/>
    <m/>
    <m/>
    <m/>
    <m/>
    <m/>
  </r>
  <r>
    <n v="135"/>
    <x v="0"/>
    <s v="16.10 | Application Software Security | Apply Secure Design Principles in Application Architectures (Protect) (IG2, IG3)"/>
    <s v="Apply secure design principles in application architectures. Secure design principles include the concept of least privilege and enforcing mediation to validate every operation that the user makes, promoting the concept of &quot;never trust user input.&quot; Examples include ensuring that explicit error checking is performed and documented for all input, including for size, data type, and acceptable ranges or formats. Secure design also means minimizing the application infrastructure attack surface, such as turning off unprotected ports and services, removing unnecessary programs and files, and renaming or removing default accounts."/>
    <s v="Protect"/>
    <m/>
    <s v="x"/>
    <s v="x"/>
    <s v="Yes"/>
    <s v="Yes"/>
    <s v="Yes"/>
    <s v="Yes"/>
    <s v="Yes"/>
    <n v="5"/>
    <x v="14"/>
    <x v="1"/>
    <x v="2"/>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Application Plan is a physical device that sits inside ASE and that is where we deploy our services. Each App Plan has about 15 services which are organized by topics and functions. "/>
    <s v="No gaps identified."/>
    <s v="Failure to apply secure design principles in application architectures may lead to increased vulnerabilities and security risks."/>
    <n v="1"/>
    <n v="4"/>
    <s v="Not Foreseeable"/>
    <n v="1"/>
    <n v="3"/>
    <n v="3"/>
    <n v="4"/>
    <n v="4"/>
    <n v="4"/>
    <n v="4"/>
    <n v="9"/>
    <n v="4"/>
    <s v="Hacking Web"/>
    <n v="4"/>
    <s v="Accept"/>
    <s v=""/>
    <s v=""/>
    <m/>
    <s v=""/>
    <s v="Hacking Web"/>
    <n v="1"/>
    <n v="4"/>
    <s v="Not Foreseeable"/>
    <n v="1"/>
    <n v="3"/>
    <n v="3"/>
    <n v="4"/>
    <n v="4"/>
    <n v="4"/>
    <n v="4"/>
    <s v=""/>
    <s v=""/>
    <m/>
    <s v=""/>
    <n v="4"/>
    <s v="Secure Application DevelopmentOperationApplications"/>
    <s v="x"/>
    <m/>
    <m/>
    <m/>
    <m/>
    <m/>
    <m/>
    <m/>
    <m/>
  </r>
  <r>
    <n v="136"/>
    <x v="0"/>
    <s v="16.11 | Application Software Security | Leverage Vetted Modules or Services for Application Security Components (Protect) (IG2, IG3)"/>
    <s v="Leverage vetted modules or services for application security components, such as identity management, encryption, and auditing and logging. Using platform features in critical security functions will reduce developers’ workload and minimize the likelihood of design or implementation errors. Modern operating systems provide effective mechanisms for identification, authentication, and authorization and make those mechanisms available to applications. Use only standardized, currently accepted, and extensively reviewed encryption algorithms. Operating systems also provide mechanisms to create and maintain secure audit logs."/>
    <s v="Protect"/>
    <m/>
    <s v="x"/>
    <s v="x"/>
    <s v="Yes"/>
    <s v="No"/>
    <s v="Yes"/>
    <s v="Yes"/>
    <s v="Yes"/>
    <n v="4"/>
    <x v="14"/>
    <x v="1"/>
    <x v="2"/>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Has a microservice architecture, which the downside is an application can be hyper focused to a single service, which means it does not have to change much, which means that things may tend to get outdated since it doesnt need to be reviewed. Implementing the vulnerability scanning tool will help automate scanning all of the pipelines and architecture for active development."/>
    <s v="No gaps identified."/>
    <s v="Failure to leverage vetted modules or services for application security components may increase the risk of security vulnerabilities and implementation errors."/>
    <n v="1"/>
    <n v="4"/>
    <s v="Not Foreseeable"/>
    <n v="1"/>
    <n v="3"/>
    <n v="3"/>
    <n v="4"/>
    <n v="4"/>
    <n v="4"/>
    <n v="4"/>
    <n v="9"/>
    <n v="4"/>
    <s v="Hacking Web"/>
    <n v="4"/>
    <s v="Accept"/>
    <s v=""/>
    <s v=""/>
    <m/>
    <s v=""/>
    <s v="Hacking Web"/>
    <n v="1"/>
    <n v="4"/>
    <s v="Not Foreseeable"/>
    <n v="1"/>
    <n v="3"/>
    <n v="3"/>
    <n v="4"/>
    <n v="4"/>
    <n v="4"/>
    <n v="4"/>
    <s v=""/>
    <s v=""/>
    <m/>
    <s v=""/>
    <n v="4"/>
    <s v="Secure Application DevelopmentOperationApplications"/>
    <s v="x"/>
    <m/>
    <m/>
    <m/>
    <m/>
    <m/>
    <m/>
    <m/>
    <m/>
  </r>
  <r>
    <n v="137"/>
    <x v="0"/>
    <s v="16.12 | Application Software Security | Implement Code-Level Security Checks (Protect) (IG3)"/>
    <s v="Apply static and dynamic analysis tools within the application life cycle to verify that secure coding practices are being followed."/>
    <s v="Protect"/>
    <m/>
    <m/>
    <s v="x"/>
    <s v="Yes"/>
    <s v="No"/>
    <s v="Yes"/>
    <s v="Yes"/>
    <s v="Yes"/>
    <n v="4"/>
    <x v="14"/>
    <x v="1"/>
    <x v="1"/>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No SAST or DAST currently; these will be implemented with the scanning tool."/>
    <s v="Lack of static and dynamic analysis tools for code-level security checks."/>
    <s v="Failure to implement code-level security checks may lead to undetected vulnerabilities in the code."/>
    <n v="2"/>
    <n v="1"/>
    <s v="Common"/>
    <n v="4"/>
    <n v="3"/>
    <n v="3"/>
    <n v="4"/>
    <n v="4"/>
    <n v="16"/>
    <n v="16"/>
    <n v="9"/>
    <n v="1"/>
    <s v="Hacking System"/>
    <n v="16"/>
    <s v="Manage"/>
    <s v="Implement Information Security Secure Application Development"/>
    <s v="Establish, manage and validate operational activities for Secure Application Development including:_x000a_ * training Application Development and Support resources;_x000a_ * incorporating Secure Development concepts, techniques, and compliance obligations in development and support initiatives;_x000a_ * enforcing Secure Application Development requirements when outsourcing application development and support;_x000a_ * include Secure Application Development procedures in the System Development Lifecycle (SDLC), during initiation, design, development, testing, production migration, and support;_x000a_ * reporting of Secure Application Development performance metrics_x000a_"/>
    <s v="Deploy static and dynamic analysis tools within the application lifecycle to ensure secure coding practices are followed and vulnerabilities are identified early."/>
    <s v="Estimated Start - TBD_x000a_Estimated Completion - TBD_x000a_-----_x000a_"/>
    <s v="Hacking System"/>
    <n v="2"/>
    <n v="4"/>
    <s v="Foreseeable, not expected"/>
    <n v="2"/>
    <n v="3"/>
    <n v="3"/>
    <n v="4"/>
    <n v="4"/>
    <n v="8"/>
    <n v="8"/>
    <s v="Pending"/>
    <s v="TBD"/>
    <m/>
    <s v=""/>
    <n v="16"/>
    <s v="Secure Application DevelopmentOperationApplications"/>
    <s v="x"/>
    <m/>
    <m/>
    <m/>
    <m/>
    <m/>
    <m/>
    <m/>
    <m/>
  </r>
  <r>
    <n v="138"/>
    <x v="0"/>
    <s v="16.13 | Application Software Security | Conduct Application Penetration Testing (Protect) (IG3)"/>
    <s v="Conduct application penetration testing. For critical applications, authenticated penetration testing is better suited to finding business logic vulnerabilities than code scanning and automated security testing. Penetration testing relies on the skill of the tester to manually manipulate an application as an authenticated and unauthenticated user. "/>
    <s v="Protect"/>
    <m/>
    <m/>
    <s v="x"/>
    <s v="Yes"/>
    <s v="Yes"/>
    <s v="Yes"/>
    <s v="Yes"/>
    <s v="Yes"/>
    <n v="5"/>
    <x v="1"/>
    <x v="1"/>
    <x v="1"/>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Security initiates application pen tests for big projects. Conducts annual pen tests for applications that are externally exposed or have API calls."/>
    <s v="No gaps identified."/>
    <s v="Failure to conduct application penetration testing may result in undetected business logic vulnerabilities and increased security risks."/>
    <n v="2"/>
    <n v="4"/>
    <s v="Foreseeable, not expected"/>
    <n v="2"/>
    <n v="3"/>
    <n v="3"/>
    <n v="4"/>
    <n v="4"/>
    <n v="8"/>
    <n v="8"/>
    <n v="9"/>
    <n v="4"/>
    <s v="Hacking System"/>
    <n v="8"/>
    <s v="Accept"/>
    <s v=""/>
    <s v=""/>
    <m/>
    <s v=""/>
    <s v="Hacking System"/>
    <n v="2"/>
    <n v="4"/>
    <s v="Foreseeable, not expected"/>
    <n v="2"/>
    <n v="3"/>
    <n v="3"/>
    <n v="4"/>
    <n v="4"/>
    <n v="8"/>
    <n v="8"/>
    <s v=""/>
    <s v=""/>
    <m/>
    <s v=""/>
    <n v="8"/>
    <s v="Vulnerability ManagementOperationApplications"/>
    <s v="x"/>
    <m/>
    <m/>
    <m/>
    <m/>
    <m/>
    <m/>
    <m/>
    <m/>
  </r>
  <r>
    <n v="139"/>
    <x v="0"/>
    <s v="16.14 | Application Software Security | Conduct Threat Modeling (Protect) (IG3)"/>
    <s v="Conduct threat modeling. Threat modeling is the process of identifying and addressing application security design flaws within a design, before code is created. It is conducted through specially trained individuals who evaluate the application design and gauge security risks for each entry point and access level. The goal is to map out the application, architecture, and infrastructure in a structured way to understand its weaknesses."/>
    <s v="Protect"/>
    <m/>
    <m/>
    <s v="x"/>
    <s v="No"/>
    <s v="No"/>
    <s v="No"/>
    <s v="No"/>
    <s v="No"/>
    <n v="0"/>
    <x v="14"/>
    <x v="1"/>
    <x v="1"/>
    <s v="Applications"/>
    <s v="PR.IP-2 | Information Protection Processes and Procedures  - A System Development Life Cycle to manage systems is implemented_x000a_"/>
    <s v="Applications may expose systems and data to avoidable attack paths."/>
    <s v="Hackers and malware may compromise applications through avoidable vulnerabilities."/>
    <s v="Threat Modeling is not yet in place due to lack of scanning effort. Leveraging GitHub Advanced Security in the interim. "/>
    <s v="Lack of threat modeling in the application development process."/>
    <s v="Failure to conduct threat modeling may lead to unaddressed security design flaws and increased vulnerabilities."/>
    <n v="2"/>
    <n v="2"/>
    <s v="Common"/>
    <n v="4"/>
    <n v="3"/>
    <n v="3"/>
    <n v="4"/>
    <n v="4"/>
    <n v="16"/>
    <n v="16"/>
    <n v="9"/>
    <n v="2"/>
    <s v="Hacking System"/>
    <n v="16"/>
    <s v="Manage"/>
    <s v="Implement Information Security Secure Application Development"/>
    <s v="Establish, manage and validate operational activities for Secure Application Development including:_x000a_ * training Application Development and Support resources;_x000a_ * incorporating Secure Development concepts, techniques, and compliance obligations in development and support initiatives;_x000a_ * enforcing Secure Application Development requirements when outsourcing application development and support;_x000a_ * include Secure Application Development procedures in the System Development Lifecycle (SDLC), during initiation, design, development, testing, production migration, and support;_x000a_ * reporting of Secure Application Development performance metrics_x000a_"/>
    <s v="Integrate threat modeling into the application development process by training personnel and utilizing structured methods to identify and address security design flaws before coding begins."/>
    <s v="Estimated Start - TBD_x000a_Estimated Completion - TBD_x000a_-----_x000a_"/>
    <s v="Hacking System"/>
    <n v="2"/>
    <n v="4"/>
    <s v="Foreseeable, not expected"/>
    <n v="2"/>
    <n v="3"/>
    <n v="3"/>
    <n v="4"/>
    <n v="4"/>
    <n v="8"/>
    <n v="8"/>
    <s v="Pending"/>
    <s v="TBD"/>
    <m/>
    <s v=""/>
    <n v="16"/>
    <s v="Secure Application DevelopmentOperationApplications"/>
    <m/>
    <m/>
    <m/>
    <m/>
    <m/>
    <m/>
    <m/>
    <m/>
    <m/>
  </r>
  <r>
    <n v="140"/>
    <x v="0"/>
    <s v="17.1 | Incident Response Management | Designate Personnel to Manage Incident Handling (Respond) (IG1, IG2, IG3)"/>
    <s v="Designate one key person, and at least one backup, who will manage the enterprise’s incident handling process. Management personnel are responsible for the coordination and documentation of incident response and recovery efforts and can consist of employees internal to the enterprise, third-party vendors, or a hybrid approach. If using a third-party vendor, designate at least one person internal to the enterprise to oversee any third-party work. Review annually, or when significant enterprise changes occur that could impact this Safeguard."/>
    <s v="Respond"/>
    <s v="x"/>
    <s v="x"/>
    <s v="x"/>
    <s v="No"/>
    <s v="No"/>
    <s v="No"/>
    <s v="No"/>
    <s v="No"/>
    <n v="0"/>
    <x v="15"/>
    <x v="1"/>
    <x v="3"/>
    <s v="N/A"/>
    <s v="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S.AN-2 | Analysis  - The impact of the incident is understood_x000a_RS.AN-3 | Analysis  - Forensics are performed_x000a_RS.AN-4 | Analysis  - Incidents are categorized consistent with response plans_x000a_RS.CO-1 | Communications  - Personnel know their roles and order of operations when a response is needed_x000a_RS.CO-2 | Communications  - Events are reported consistent with established criteria_x000a_RS.CO-3 | Communications  - Information is shared consistent with response plans_x000a_RS.CO-4 | Communications  - Coordination with stakeholders occurs consistent with response plans_x000a_RS.CO-5 | Communications  - Voluntary information sharing occurs with external stakeholders to achieve broader cybersecurity situational awareness _x000a_RS.IM-1 | Improvements  - Response plans incorporate lessons learned_x000a_RS.IM-2 | Improvements  - Response strategies are updated_x000a_RS.MI-1 | Mitigation  - Incidents are contained_x000a_RS.MI-2 | Mitigation  - Incidents are mitigated_x000a_RS.MI-3 | Mitigation  - Newly identified vulnerabilities are mitigated or documented as accepted risks_x000a_RS.RP-1 | Response Planning  - Response plan is executed during or after an event_x000a_RC.CO-1 | Communications  - Public relations are managed_x000a_RC.CO-2 | Communications  - Reputation after an event is repaired_x000a_RC.CO-3 | Communications  - Recovery activities are communicated to internal stakeholders and executive and management teams_x000a_"/>
    <s v="Personnel may not handle information and information assets during an incident in a secure manner."/>
    <s v="Errors while handling critical incident related information may lead to loss of forensic details and further information breaches."/>
    <s v="Designated personnel manage incident handling, with roles and responsibilities detailed in the Incident Response Plan, which is reviewed and approved annually by the Board."/>
    <s v="No gaps identified."/>
    <s v="Failure to designate personnel to manage incident handling may result in uncoordinated and ineffective incident response efforts."/>
    <n v="2"/>
    <n v="4"/>
    <s v="Foreseeable, not expected"/>
    <n v="2"/>
    <n v="4"/>
    <n v="4"/>
    <n v="4"/>
    <n v="4"/>
    <n v="8"/>
    <n v="8"/>
    <n v="9"/>
    <n v="4"/>
    <s v="Personnel Error"/>
    <n v="8"/>
    <s v="Accept"/>
    <s v=""/>
    <s v=""/>
    <m/>
    <s v=""/>
    <s v="Personnel Error"/>
    <n v="2"/>
    <n v="4"/>
    <s v="Foreseeable, not expected"/>
    <n v="2"/>
    <n v="4"/>
    <n v="4"/>
    <n v="4"/>
    <n v="4"/>
    <n v="8"/>
    <n v="8"/>
    <s v=""/>
    <s v=""/>
    <m/>
    <s v=""/>
    <n v="8"/>
    <s v="Incident ResponseOperationN/A"/>
    <m/>
    <m/>
    <m/>
    <m/>
    <m/>
    <m/>
    <m/>
    <m/>
    <m/>
  </r>
  <r>
    <n v="141"/>
    <x v="0"/>
    <s v="17.2 | Incident Response Management | Establish and Maintain Contact Information for Reporting Security Incidents (Respond) (IG1, IG2, IG3)"/>
    <s v="Establish and maintain contact information for parties that need to be informed of security incidents. Contacts may include internal staff, third-party vendors, law enforcement, cyber insurance providers, relevant government agencies, Information Sharing and Analysis Center (ISAC) partners, or other stakeholders. Verify contacts annually to ensure that information is up-to-date."/>
    <s v="Respond"/>
    <s v="x"/>
    <s v="x"/>
    <s v="x"/>
    <s v="No"/>
    <s v="No"/>
    <s v="No"/>
    <s v="No"/>
    <s v="No"/>
    <n v="0"/>
    <x v="15"/>
    <x v="0"/>
    <x v="3"/>
    <s v="N/A"/>
    <s v="PR.IP-9 | Information Protection Processes and Procedures  - Response plans (Incident Response and Business Continuity) and recovery plans (Incident Recovery and Disaster Recovery) are in place and managed_x000a_"/>
    <s v="Personnel may not understand expectations for personnel to handle information and information assets during an incident in a secure manner."/>
    <s v="Errors while handling critical incident related information may lead to loss of forensic details and further information breaches."/>
    <s v="Contact information for reporting security incidents is maintained and verified annually."/>
    <s v="No gaps identified."/>
    <s v="Failure to maintain up-to-date contact information may result in delayed or ineffective communication during security incidents."/>
    <n v="2"/>
    <n v="4"/>
    <s v="Foreseeable, not expected"/>
    <n v="2"/>
    <n v="4"/>
    <n v="4"/>
    <n v="4"/>
    <n v="4"/>
    <n v="8"/>
    <n v="8"/>
    <n v="9"/>
    <n v="4"/>
    <s v="Personnel Error"/>
    <n v="8"/>
    <s v="Accept"/>
    <s v=""/>
    <s v=""/>
    <m/>
    <s v=""/>
    <s v="Personnel Error"/>
    <n v="2"/>
    <n v="4"/>
    <s v="Foreseeable, not expected"/>
    <n v="2"/>
    <n v="4"/>
    <n v="4"/>
    <n v="4"/>
    <n v="4"/>
    <n v="8"/>
    <n v="8"/>
    <s v=""/>
    <s v=""/>
    <m/>
    <s v=""/>
    <n v="8"/>
    <s v="Incident ResponseGovernanceN/A"/>
    <m/>
    <m/>
    <m/>
    <m/>
    <m/>
    <m/>
    <m/>
    <m/>
    <m/>
  </r>
  <r>
    <n v="142"/>
    <x v="0"/>
    <s v="17.3 | Incident Response Management | Establish and Maintain an Enterprise Process for Reporting Incidents (Respond) (IG1, IG2, IG3)"/>
    <s v="Establish and maintain an enterprise process for the workforce to report security incidents. The process includes reporting timeframe, personnel to report to, mechanism for reporting, and the minimum information to be reported. Ensure the process is publicly available to all of the workforce. Review annually, or when significant enterprise changes occur that could impact this Safeguard."/>
    <s v="Respond"/>
    <s v="x"/>
    <s v="x"/>
    <s v="x"/>
    <s v="No"/>
    <s v="No"/>
    <s v="No"/>
    <s v="No"/>
    <s v="No"/>
    <n v="0"/>
    <x v="15"/>
    <x v="0"/>
    <x v="3"/>
    <s v="N/A"/>
    <s v="PR.IP-9 | Information Protection Processes and Procedures  - Response plans (Incident Response and Business Continuity) and recovery plans (Incident Recovery and Disaster Recovery) are in place and managed_x000a_"/>
    <s v="Personnel may not understand expectations for personnel to handle information and information assets during an incident in a secure manner."/>
    <s v="Errors while handling critical incident related information may lead to loss of forensic details and further information breaches."/>
    <s v="Enterprise process for reporting incidents is established, including reporting timeframe, personnel, mechanisms, and minimum information. Reviewed annually."/>
    <s v="No gaps identified."/>
    <s v="Failure to establish a process for reporting incidents may lead to unreported incidents and increased security risks."/>
    <n v="2"/>
    <n v="4"/>
    <s v="Foreseeable, not expected"/>
    <n v="2"/>
    <n v="4"/>
    <n v="4"/>
    <n v="4"/>
    <n v="4"/>
    <n v="8"/>
    <n v="8"/>
    <n v="9"/>
    <n v="4"/>
    <s v="Personnel Error"/>
    <n v="8"/>
    <s v="Accept"/>
    <s v=""/>
    <s v=""/>
    <m/>
    <s v=""/>
    <s v="Personnel Error"/>
    <n v="2"/>
    <n v="4"/>
    <s v="Foreseeable, not expected"/>
    <n v="2"/>
    <n v="4"/>
    <n v="4"/>
    <n v="4"/>
    <n v="4"/>
    <n v="8"/>
    <n v="8"/>
    <s v=""/>
    <s v=""/>
    <m/>
    <s v=""/>
    <n v="8"/>
    <s v="Incident ResponseGovernanceN/A"/>
    <m/>
    <m/>
    <m/>
    <m/>
    <m/>
    <m/>
    <m/>
    <m/>
    <m/>
  </r>
  <r>
    <n v="143"/>
    <x v="0"/>
    <s v="17.4 | Incident Response Management | Establish and Maintain an Incident Response Process (Respond) (IG2, IG3)"/>
    <s v="Establish and maintain an incident response process that addresses roles and responsibilities, compliance requirements, and a communication plan. Review annually, or when significant enterprise changes occur that could impact this Safeguard."/>
    <s v="Respond"/>
    <m/>
    <s v="x"/>
    <s v="x"/>
    <s v="No"/>
    <s v="No"/>
    <s v="No"/>
    <s v="No"/>
    <s v="No"/>
    <n v="0"/>
    <x v="15"/>
    <x v="0"/>
    <x v="3"/>
    <s v="N/A"/>
    <s v="PR.IP-9 | Information Protection Processes and Procedures  - Response plans (Incident Response and Business Continuity) and recovery plans (Incident Recovery and Disaster Recovery) are in place and managed_x000a_"/>
    <s v="Personnel may not understand expectations for personnel to handle information and information assets during an incident in a secure manner."/>
    <s v="Errors while handling critical incident related information may lead to loss of forensic details and further information breaches."/>
    <s v="Incident response process includes roles and responsibilities, compliance requirements, and a communication plan. Reviewed annually."/>
    <s v="No gaps identified."/>
    <s v="Failure to establish an incident response process may result in uncoordinated and ineffective response to security incidents."/>
    <n v="2"/>
    <n v="4"/>
    <s v="Foreseeable, not expected"/>
    <n v="2"/>
    <n v="4"/>
    <n v="4"/>
    <n v="4"/>
    <n v="4"/>
    <n v="8"/>
    <n v="8"/>
    <n v="9"/>
    <n v="4"/>
    <s v="Personnel Error"/>
    <n v="8"/>
    <s v="Accept"/>
    <s v=""/>
    <s v=""/>
    <m/>
    <s v=""/>
    <s v="Personnel Error"/>
    <n v="2"/>
    <n v="4"/>
    <s v="Foreseeable, not expected"/>
    <n v="2"/>
    <n v="4"/>
    <n v="4"/>
    <n v="4"/>
    <n v="4"/>
    <n v="8"/>
    <n v="8"/>
    <s v=""/>
    <s v=""/>
    <m/>
    <s v=""/>
    <n v="8"/>
    <s v="Incident ResponseGovernanceN/A"/>
    <m/>
    <m/>
    <m/>
    <m/>
    <m/>
    <m/>
    <m/>
    <m/>
    <m/>
  </r>
  <r>
    <n v="144"/>
    <x v="0"/>
    <s v="17.5 | Incident Response Management | Assign Key Roles and Responsibilities (Respond) (IG2, IG3)"/>
    <s v="Assign key roles and responsibilities for incident response, including staff from legal, IT, information security, facilities, public relations, human resources, incident responders, and analysts, as applicable. Review annually, or when significant enterprise changes occur that could impact this Safeguard."/>
    <s v="Respond"/>
    <m/>
    <s v="x"/>
    <s v="x"/>
    <s v="No"/>
    <s v="No"/>
    <s v="No"/>
    <s v="No"/>
    <s v="No"/>
    <n v="0"/>
    <x v="15"/>
    <x v="1"/>
    <x v="3"/>
    <s v="N/A"/>
    <s v="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S.AN-2 | Analysis  - The impact of the incident is understood_x000a_RS.AN-3 | Analysis  - Forensics are performed_x000a_RS.AN-4 | Analysis  - Incidents are categorized consistent with response plans_x000a_RS.CO-1 | Communications  - Personnel know their roles and order of operations when a response is needed_x000a_RS.CO-2 | Communications  - Events are reported consistent with established criteria_x000a_RS.CO-3 | Communications  - Information is shared consistent with response plans_x000a_RS.CO-4 | Communications  - Coordination with stakeholders occurs consistent with response plans_x000a_RS.CO-5 | Communications  - Voluntary information sharing occurs with external stakeholders to achieve broader cybersecurity situational awareness _x000a_RS.IM-1 | Improvements  - Response plans incorporate lessons learned_x000a_RS.IM-2 | Improvements  - Response strategies are updated_x000a_RS.MI-1 | Mitigation  - Incidents are contained_x000a_RS.MI-2 | Mitigation  - Incidents are mitigated_x000a_RS.MI-3 | Mitigation  - Newly identified vulnerabilities are mitigated or documented as accepted risks_x000a_RS.RP-1 | Response Planning  - Response plan is executed during or after an event_x000a_RC.CO-1 | Communications  - Public relations are managed_x000a_RC.CO-2 | Communications  - Reputation after an event is repaired_x000a_RC.CO-3 | Communications  - Recovery activities are communicated to internal stakeholders and executive and management teams_x000a_"/>
    <s v="Personnel may not handle information and information assets during an incident in a secure manner."/>
    <s v="Errors while handling critical incident related information may lead to loss of forensic details and further information breaches."/>
    <s v="Key roles and responsibilities for incident response are assigned and reviewed annually."/>
    <s v="No gaps identified."/>
    <s v="Failure to assign key roles and responsibilities may lead to confusion and inefficiencies during incident response."/>
    <n v="2"/>
    <n v="4"/>
    <s v="Foreseeable, not expected"/>
    <n v="2"/>
    <n v="4"/>
    <n v="4"/>
    <n v="4"/>
    <n v="4"/>
    <n v="8"/>
    <n v="8"/>
    <n v="9"/>
    <n v="4"/>
    <s v="Personnel Error"/>
    <n v="8"/>
    <s v="Accept"/>
    <s v=""/>
    <s v=""/>
    <m/>
    <s v=""/>
    <s v="Personnel Error"/>
    <n v="2"/>
    <n v="4"/>
    <s v="Foreseeable, not expected"/>
    <n v="2"/>
    <n v="4"/>
    <n v="4"/>
    <n v="4"/>
    <n v="4"/>
    <n v="8"/>
    <n v="8"/>
    <s v=""/>
    <s v=""/>
    <m/>
    <s v=""/>
    <n v="8"/>
    <s v="Incident ResponseOperationN/A"/>
    <m/>
    <m/>
    <m/>
    <m/>
    <m/>
    <m/>
    <m/>
    <m/>
    <m/>
  </r>
  <r>
    <n v="145"/>
    <x v="0"/>
    <s v="17.6 | Incident Response Management | Define Mechanisms for Communicating During Incident Response (Respond) (IG2, IG3)"/>
    <s v="Determine which primary and secondary mechanisms will be used to communicate and report during a security incident. Mechanisms can include phone calls, emails, or letters. Keep in mind that certain mechanisms, such as emails, can be affected during a security incident. Review annually, or when significant enterprise changes occur that could impact this Safeguard."/>
    <s v="Respond"/>
    <m/>
    <s v="x"/>
    <s v="x"/>
    <s v="No"/>
    <s v="No"/>
    <s v="No"/>
    <s v="No"/>
    <s v="No"/>
    <n v="0"/>
    <x v="15"/>
    <x v="0"/>
    <x v="3"/>
    <s v="N/A"/>
    <s v="PR.IP-9 | Information Protection Processes and Procedures  - Response plans (Incident Response and Business Continuity) and recovery plans (Incident Recovery and Disaster Recovery) are in place and managed_x000a_"/>
    <s v="Personnel may not understand expectations for personnel to handle information and information assets during an incident in a secure manner."/>
    <s v="Errors while handling critical incident related information may lead to loss of forensic details and further information breaches."/>
    <s v="Communication mechanisms during incident response include phone calls, emails, and letters. These are reviewed annually."/>
    <s v="No gaps identified."/>
    <s v="Failure to define communication mechanisms may result in ineffective communication during security incidents."/>
    <n v="2"/>
    <n v="4"/>
    <s v="Foreseeable, not expected"/>
    <n v="2"/>
    <n v="4"/>
    <n v="4"/>
    <n v="4"/>
    <n v="4"/>
    <n v="8"/>
    <n v="8"/>
    <n v="9"/>
    <n v="4"/>
    <s v="Personnel Error"/>
    <n v="8"/>
    <s v="Accept"/>
    <s v=""/>
    <s v=""/>
    <m/>
    <s v=""/>
    <s v="Personnel Error"/>
    <n v="2"/>
    <n v="4"/>
    <s v="Foreseeable, not expected"/>
    <n v="2"/>
    <n v="4"/>
    <n v="4"/>
    <n v="4"/>
    <n v="4"/>
    <n v="8"/>
    <n v="8"/>
    <s v=""/>
    <s v=""/>
    <m/>
    <s v=""/>
    <n v="8"/>
    <s v="Incident ResponseGovernanceN/A"/>
    <m/>
    <m/>
    <m/>
    <m/>
    <m/>
    <m/>
    <m/>
    <m/>
    <m/>
  </r>
  <r>
    <n v="146"/>
    <x v="0"/>
    <s v="17.7 | Incident Response Management | Conduct Routine Incident Response Exercises (Recover) (IG2, IG3)"/>
    <s v="Plan and conduct routine incident response exercises and scenarios for key personnel involved in the incident response process to prepare for responding to real-world incidents. Exercises need to test communication channels, decision making, and workflows. Conduct testing on an annual basis, at a minimum."/>
    <s v="Recover"/>
    <m/>
    <s v="x"/>
    <s v="x"/>
    <s v="No"/>
    <s v="No"/>
    <s v="No"/>
    <s v="No"/>
    <s v="No"/>
    <n v="0"/>
    <x v="15"/>
    <x v="1"/>
    <x v="3"/>
    <s v="N/A"/>
    <s v="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S.AN-2 | Analysis  - The impact of the incident is understood_x000a_RS.AN-3 | Analysis  - Forensics are performed_x000a_RS.AN-4 | Analysis  - Incidents are categorized consistent with response plans_x000a_RS.CO-1 | Communications  - Personnel know their roles and order of operations when a response is needed_x000a_RS.CO-2 | Communications  - Events are reported consistent with established criteria_x000a_RS.CO-3 | Communications  - Information is shared consistent with response plans_x000a_RS.CO-4 | Communications  - Coordination with stakeholders occurs consistent with response plans_x000a_RS.CO-5 | Communications  - Voluntary information sharing occurs with external stakeholders to achieve broader cybersecurity situational awareness _x000a_RS.IM-1 | Improvements  - Response plans incorporate lessons learned_x000a_RS.IM-2 | Improvements  - Response strategies are updated_x000a_RS.MI-1 | Mitigation  - Incidents are contained_x000a_RS.MI-2 | Mitigation  - Incidents are mitigated_x000a_RS.MI-3 | Mitigation  - Newly identified vulnerabilities are mitigated or documented as accepted risks_x000a_RS.RP-1 | Response Planning  - Response plan is executed during or after an event_x000a_RC.CO-1 | Communications  - Public relations are managed_x000a_RC.CO-2 | Communications  - Reputation after an event is repaired_x000a_RC.CO-3 | Communications  - Recovery activities are communicated to internal stakeholders and executive and management teams_x000a_"/>
    <s v="Personnel may not handle information and information assets during an incident in a secure manner."/>
    <s v="Errors while handling critical incident related information may lead to loss of forensic details and further information breaches."/>
    <s v="Routine incident response exercises are conducted annually with Rivale, including tabletop exercises based on relevant topics."/>
    <s v="No gaps identified."/>
    <s v="Failure to conduct routine incident response exercises may result in unpreparedness and ineffective response to real-world incidents."/>
    <n v="2"/>
    <n v="4"/>
    <s v="Foreseeable, not expected"/>
    <n v="2"/>
    <n v="4"/>
    <n v="4"/>
    <n v="4"/>
    <n v="4"/>
    <n v="8"/>
    <n v="8"/>
    <n v="9"/>
    <n v="4"/>
    <s v="Personnel Error"/>
    <n v="8"/>
    <s v="Accept"/>
    <s v=""/>
    <s v=""/>
    <m/>
    <s v=""/>
    <s v="Personnel Error"/>
    <n v="2"/>
    <n v="4"/>
    <s v="Foreseeable, not expected"/>
    <n v="2"/>
    <n v="4"/>
    <n v="4"/>
    <n v="4"/>
    <n v="4"/>
    <n v="8"/>
    <n v="8"/>
    <s v=""/>
    <s v=""/>
    <m/>
    <s v=""/>
    <n v="8"/>
    <s v="Incident ResponseOperationN/A"/>
    <m/>
    <m/>
    <m/>
    <m/>
    <m/>
    <m/>
    <m/>
    <m/>
    <m/>
  </r>
  <r>
    <n v="147"/>
    <x v="0"/>
    <s v="17.8 | Incident Response Management | Conduct Post-Incident Reviews (Recover) (IG2, IG3)"/>
    <s v="Conduct post-incident reviews. Post-incident reviews help prevent incident recurrence through identifying lessons learned and follow-up action."/>
    <s v="Recover"/>
    <m/>
    <s v="x"/>
    <s v="x"/>
    <s v="No"/>
    <s v="No"/>
    <s v="No"/>
    <s v="No"/>
    <s v="No"/>
    <n v="0"/>
    <x v="15"/>
    <x v="1"/>
    <x v="3"/>
    <s v="N/A"/>
    <s v="PR.IP-9 | Information Protection Processes and Procedures  - Response plans (Incident Response and Business Continuity) and recovery plans (Incident Recovery and Disaster Recovery) are in place and managed_x000a_PR.IP-10 | Information Protection Processes and Procedures  - Response and recovery plans are tested_x000a_RS.AN-2 | Analysis  - The impact of the incident is understood_x000a_RS.AN-3 | Analysis  - Forensics are performed_x000a_RS.AN-4 | Analysis  - Incidents are categorized consistent with response plans_x000a_RS.CO-1 | Communications  - Personnel know their roles and order of operations when a response is needed_x000a_RS.CO-2 | Communications  - Events are reported consistent with established criteria_x000a_RS.CO-3 | Communications  - Information is shared consistent with response plans_x000a_RS.CO-4 | Communications  - Coordination with stakeholders occurs consistent with response plans_x000a_RS.CO-5 | Communications  - Voluntary information sharing occurs with external stakeholders to achieve broader cybersecurity situational awareness _x000a_RS.IM-1 | Improvements  - Response plans incorporate lessons learned_x000a_RS.IM-2 | Improvements  - Response strategies are updated_x000a_RS.MI-1 | Mitigation  - Incidents are contained_x000a_RS.MI-2 | Mitigation  - Incidents are mitigated_x000a_RS.MI-3 | Mitigation  - Newly identified vulnerabilities are mitigated or documented as accepted risks_x000a_RS.RP-1 | Response Planning  - Response plan is executed during or after an event_x000a_RC.CO-1 | Communications  - Public relations are managed_x000a_RC.CO-2 | Communications  - Reputation after an event is repaired_x000a_RC.CO-3 | Communications  - Recovery activities are communicated to internal stakeholders and executive and management teams_x000a_"/>
    <s v="Personnel may not handle information and information assets during an incident in a secure manner."/>
    <s v="Errors while handling critical incident related information may lead to loss of forensic details and further information breaches."/>
    <s v="Formal after-action reviews are hosted by third-party facilitators, providing recommendations and tracking them for improvement."/>
    <s v="No gaps identified."/>
    <s v="Failure to conduct post-incident reviews may result in missed opportunities for improvement and recurrence of similar incidents."/>
    <n v="2"/>
    <n v="4"/>
    <s v="Foreseeable, not expected"/>
    <n v="2"/>
    <n v="4"/>
    <n v="4"/>
    <n v="4"/>
    <n v="4"/>
    <n v="8"/>
    <n v="8"/>
    <n v="9"/>
    <n v="4"/>
    <s v="Personnel Error"/>
    <n v="8"/>
    <s v="Accept"/>
    <s v=""/>
    <s v=""/>
    <m/>
    <s v=""/>
    <s v="Personnel Error"/>
    <n v="2"/>
    <n v="4"/>
    <s v="Foreseeable, not expected"/>
    <n v="2"/>
    <n v="4"/>
    <n v="4"/>
    <n v="4"/>
    <n v="4"/>
    <n v="8"/>
    <n v="8"/>
    <s v=""/>
    <s v=""/>
    <m/>
    <s v=""/>
    <n v="8"/>
    <s v="Incident ResponseOperationN/A"/>
    <m/>
    <m/>
    <m/>
    <m/>
    <m/>
    <m/>
    <m/>
    <m/>
    <m/>
  </r>
  <r>
    <n v="148"/>
    <x v="0"/>
    <s v="17.9 | Incident Response Management | Establish and Maintain Security Incident Thresholds (Recover) (IG3)"/>
    <s v="Establish and maintain security incident thresholds, including, at a minimum, differentiating between an incident and an event. Examples can include: abnormal activity, security vulnerability, security weakness, data breach, privacy incident, etc. Review annually, or when significant enterprise changes occur that could impact this Safeguard."/>
    <s v="Recover"/>
    <m/>
    <m/>
    <s v="x"/>
    <s v="No"/>
    <s v="No"/>
    <s v="No"/>
    <s v="No"/>
    <s v="No"/>
    <n v="0"/>
    <x v="15"/>
    <x v="0"/>
    <x v="3"/>
    <s v="N/A"/>
    <s v="PR.IP-9 | Information Protection Processes and Procedures  - Response plans (Incident Response and Business Continuity) and recovery plans (Incident Recovery and Disaster Recovery) are in place and managed_x000a_"/>
    <s v="Personnel may not understand expectations for personnel to handle information and information assets during an incident in a secure manner."/>
    <s v="Errors while handling critical incident related information may lead to loss of forensic details and further information breaches."/>
    <s v="Incident thresholds are established and maintained, reviewed annually."/>
    <s v="No gaps identified."/>
    <s v="Failure to establish and maintain security incident thresholds may result in inconsistent incident classification and response."/>
    <n v="2"/>
    <n v="4"/>
    <s v="Foreseeable, not expected"/>
    <n v="2"/>
    <n v="4"/>
    <n v="4"/>
    <n v="4"/>
    <n v="4"/>
    <n v="8"/>
    <n v="8"/>
    <n v="9"/>
    <n v="4"/>
    <s v="Personnel Error"/>
    <n v="8"/>
    <s v="Accept"/>
    <s v=""/>
    <s v=""/>
    <m/>
    <s v=""/>
    <s v="Personnel Error"/>
    <n v="2"/>
    <n v="4"/>
    <s v="Foreseeable, not expected"/>
    <n v="2"/>
    <n v="4"/>
    <n v="4"/>
    <n v="4"/>
    <n v="4"/>
    <n v="8"/>
    <n v="8"/>
    <s v=""/>
    <s v=""/>
    <m/>
    <s v=""/>
    <n v="8"/>
    <s v="Incident ResponseGovernanceN/A"/>
    <m/>
    <m/>
    <m/>
    <m/>
    <m/>
    <m/>
    <m/>
    <m/>
    <m/>
  </r>
  <r>
    <n v="149"/>
    <x v="0"/>
    <s v="18.1 | Penetration Testing | Establish and Maintain a Penetration Testing Program (Identify) (IG2, IG3)"/>
    <s v="Establish and maintain a penetration testing program appropriate to the size, complexity, and maturity of the enterprise. Penetration testing program characteristics include scope, such as network, web application, Application Programming Interface (API), hosted services, and physical premise controls; frequency; limitations, such as acceptable hours, and excluded attack types; point of contact information; remediation, such as how findings will be routed internally; and retrospective requirements."/>
    <s v="Identify"/>
    <m/>
    <s v="x"/>
    <s v="x"/>
    <s v="Yes"/>
    <s v="Yes"/>
    <s v="Yes"/>
    <s v="No"/>
    <s v="Yes"/>
    <n v="4"/>
    <x v="1"/>
    <x v="0"/>
    <x v="1"/>
    <s v="Applications"/>
    <s v="N/A"/>
    <s v="The organization may not be aware of opportunities for data breaches or system failure by malware, attackers, or user error."/>
    <s v="Hackers may launch multi-phase attacks on network systems by taking advantage of a series of vulnerabilities that permit sophisticated attacks."/>
    <s v="Tests are performed annually by Sentinel Tech, with maintenance scans 6 months after the test to validate remediation efforts. Uses a physical asset in the environment for gray hat testing and validations."/>
    <s v="No gaps identified."/>
    <s v="Failure to establish and maintain a penetration testing program may result in undetected vulnerabilities and security gaps."/>
    <n v="2"/>
    <n v="4"/>
    <s v="Foreseeable, not expected"/>
    <n v="2"/>
    <n v="3"/>
    <n v="3"/>
    <n v="3"/>
    <n v="3"/>
    <n v="6"/>
    <n v="6"/>
    <n v="9"/>
    <n v="4"/>
    <s v="Hacking System"/>
    <n v="6"/>
    <s v="Accept"/>
    <s v=""/>
    <s v=""/>
    <m/>
    <s v=""/>
    <s v="Hacking System"/>
    <n v="2"/>
    <n v="4"/>
    <s v="Foreseeable, not expected"/>
    <n v="2"/>
    <n v="3"/>
    <n v="3"/>
    <n v="3"/>
    <n v="3"/>
    <n v="6"/>
    <n v="6"/>
    <s v=""/>
    <s v=""/>
    <m/>
    <s v=""/>
    <n v="6"/>
    <s v="Vulnerability ManagementGovernanceApplications"/>
    <s v="x"/>
    <m/>
    <m/>
    <m/>
    <m/>
    <m/>
    <m/>
    <m/>
    <m/>
  </r>
  <r>
    <n v="150"/>
    <x v="0"/>
    <s v="18.2 | Penetration Testing | Perform Periodic External Penetration Tests (Identify) (IG2, IG3)"/>
    <s v="Perform periodic external penetration tests based on program requirements, no less than annually. External penetration testing must include enterprise and environmental reconnaissance to detect exploitable information. Penetration testing requires specialized skills and experience and must be conducted through a qualified party. The testing may be clear box or opaque box."/>
    <s v="Identify"/>
    <m/>
    <s v="x"/>
    <s v="x"/>
    <s v="Yes"/>
    <s v="Yes"/>
    <s v="Yes"/>
    <s v="Yes"/>
    <s v="Yes"/>
    <n v="5"/>
    <x v="1"/>
    <x v="1"/>
    <x v="0"/>
    <s v="Network"/>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Periodic external penetration tests are performed annually by Sentinel Tech. "/>
    <s v="No gaps identified."/>
    <s v="Failure to perform periodic external penetration tests may result in undetected external vulnerabilities and increased security risks."/>
    <n v="3"/>
    <n v="4"/>
    <s v="Foreseeable, not expected"/>
    <n v="2"/>
    <n v="3"/>
    <n v="3"/>
    <n v="3"/>
    <n v="3"/>
    <n v="6"/>
    <n v="6"/>
    <n v="9"/>
    <n v="4"/>
    <s v="Physical Facility"/>
    <n v="6"/>
    <s v="Accept"/>
    <s v=""/>
    <s v=""/>
    <m/>
    <s v=""/>
    <s v="Physical Facility"/>
    <n v="3"/>
    <n v="4"/>
    <s v="Foreseeable, not expected"/>
    <n v="2"/>
    <n v="3"/>
    <n v="3"/>
    <n v="3"/>
    <n v="3"/>
    <n v="6"/>
    <n v="6"/>
    <s v=""/>
    <s v=""/>
    <m/>
    <s v=""/>
    <n v="6"/>
    <s v="Vulnerability ManagementOperationNetwork"/>
    <s v="x"/>
    <m/>
    <m/>
    <m/>
    <m/>
    <m/>
    <m/>
    <m/>
    <m/>
  </r>
  <r>
    <n v="151"/>
    <x v="0"/>
    <s v="18.3 | Penetration Testing | Remediate Penetration Test Findings (Protect) (IG2, IG3)"/>
    <s v="Remediate penetration test findings based on the enterprise’s policy for remediation scope and prioritization."/>
    <s v="Protect"/>
    <m/>
    <s v="x"/>
    <s v="x"/>
    <s v="Yes"/>
    <s v="Yes"/>
    <s v="Yes"/>
    <s v="Yes"/>
    <s v="Yes"/>
    <n v="5"/>
    <x v="1"/>
    <x v="1"/>
    <x v="0"/>
    <s v="Network"/>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Remediations are somewhat performed but insufficient resources negatively impact the remediation process."/>
    <s v="Insufficient resources for remediation."/>
    <s v="Failure to adequately remediate penetration test findings may result in persistent vulnerabilities and increased security risks."/>
    <n v="3"/>
    <n v="2"/>
    <s v="Common"/>
    <n v="4"/>
    <n v="3"/>
    <n v="3"/>
    <n v="3"/>
    <n v="3"/>
    <n v="12"/>
    <n v="12"/>
    <n v="9"/>
    <n v="2"/>
    <s v="Physical Facility"/>
    <n v="12"/>
    <s v="Manage"/>
    <s v="Implement Information Security Vulnerability Management"/>
    <s v="Establish, manage and validate operational activities for Information Security Vulnerability Management including:_x000a_ * execution, review and improvement of Vulnerability Management activities including patch management, vulnerability assessment, penetration testing, risk assessment, remediation, and management review; and_x000a_ * reporting of Risk Assessment performance metrics_x000a_"/>
    <s v="Allocate sufficient resources for the remediation of penetration test findings, ensuring timely and effective resolution of identified vulnerabilities to mitigate security risks."/>
    <s v="Estimated Start - TBD_x000a_Estimated Completion - TBD_x000a_-----_x000a_"/>
    <s v="Physical Facility"/>
    <n v="3"/>
    <n v="4"/>
    <s v="Foreseeable, not expected"/>
    <n v="2"/>
    <n v="3"/>
    <n v="3"/>
    <n v="3"/>
    <n v="3"/>
    <n v="6"/>
    <n v="6"/>
    <s v="Pending"/>
    <s v="TBD"/>
    <m/>
    <s v=""/>
    <n v="12"/>
    <s v="Vulnerability ManagementOperationNetwork"/>
    <s v="x"/>
    <m/>
    <m/>
    <m/>
    <m/>
    <m/>
    <m/>
    <m/>
    <m/>
  </r>
  <r>
    <n v="152"/>
    <x v="0"/>
    <s v="18.4 | Penetration Testing | Validate Security Measures (Protect) (IG3)"/>
    <s v="Validate security measures after each penetration test. If deemed necessary, modify rulesets and capabilities to detect the techniques used during testing."/>
    <s v="Protect"/>
    <m/>
    <m/>
    <s v="x"/>
    <s v="No"/>
    <s v="No"/>
    <s v="No"/>
    <s v="No"/>
    <s v="No"/>
    <n v="0"/>
    <x v="1"/>
    <x v="1"/>
    <x v="1"/>
    <s v="Network"/>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Maintenance scans are performed 6 months post-test to validate remediation efforts. "/>
    <s v="No gaps identified."/>
    <s v="Failure to validate security measures after penetration tests may result in undetected or unresolved security gaps."/>
    <n v="2"/>
    <n v="4"/>
    <s v="Foreseeable, not expected"/>
    <n v="2"/>
    <n v="3"/>
    <n v="3"/>
    <n v="3"/>
    <n v="3"/>
    <n v="6"/>
    <n v="6"/>
    <n v="9"/>
    <n v="4"/>
    <s v="Hacking System"/>
    <n v="6"/>
    <s v="Accept"/>
    <s v=""/>
    <s v=""/>
    <m/>
    <s v=""/>
    <s v="Hacking System"/>
    <n v="2"/>
    <n v="4"/>
    <s v="Foreseeable, not expected"/>
    <n v="2"/>
    <n v="3"/>
    <n v="3"/>
    <n v="3"/>
    <n v="3"/>
    <n v="6"/>
    <n v="6"/>
    <s v=""/>
    <s v=""/>
    <m/>
    <s v=""/>
    <n v="6"/>
    <s v="Vulnerability ManagementOperationNetwork"/>
    <m/>
    <m/>
    <m/>
    <m/>
    <m/>
    <m/>
    <m/>
    <m/>
    <m/>
  </r>
  <r>
    <n v="153"/>
    <x v="0"/>
    <s v="18.5 | Penetration Testing | Perform Periodic Internal Penetration Tests (Identify) (IG3)"/>
    <s v="Perform periodic internal penetration tests based on program requirements, no less than annually. The testing may be clear box or opaque box."/>
    <s v="Identify"/>
    <m/>
    <m/>
    <s v="x"/>
    <s v="Yes"/>
    <s v="Yes"/>
    <s v="Yes"/>
    <s v="Yes"/>
    <s v="Yes"/>
    <n v="5"/>
    <x v="1"/>
    <x v="1"/>
    <x v="1"/>
    <s v="Applications"/>
    <s v="ID.RA-1 | Risk Assessment  - Asset vulnerabilities are identified and documented_x000a_ID.RA-1 | Risk Assessment  - Threat and vulnerability information is received from information sharing forums and sources_x000a_ID.RA-1 | Risk Assessment  - Threats, both internal and external, are identified and documented_x000a_PR.IP-12 | Information Protection Processes and Procedures  - A vulnerability management plan is developed and implemented_x000a_DE.AE-2 | Anomalies and Events  - Detected events are analyzed to understand attack targets and methods_x000a_DE.CM-4 | Security Continuous Monitoring  - Malicious code is detected_x000a_DE.CM-5 | Security Continuous Monitoring  - Unauthorized mobile code is detected_x000a_DE.CM-8 | Security Continuous Monitoring  - Vulnerability scans are performed_x000a_DE.DP-2 | Detection Processes  - Detection activities comply with all applicable requirements_x000a_DE.DP-3 | Detection Processes  - Detection processes are tested_x000a_DE.DP-4 | Detection Processes  - Event detection information is communicated to appropriate parties_x000a_DE.DP-5 | Detection Processes  - Detection processes are continuously improved_x000a_RS.AN-1 | Analysis  - Notifications from detection systems are investigated _x000a_RS.AN-2 | Analysis  - The impact of the incident is understood_x000a_"/>
    <s v="Applications, systems, and network devices may have avoidable vulnerabilities that can be exploited by attackers or malware. Vulnerabilities that persist over time may increase liability."/>
    <s v="Hackers, or malware may exploit vulnerabilities that are left open on systems and applications. "/>
    <s v="Periodic internal penetration tests are performed annually by Sentinel Tech."/>
    <s v="No gaps identified."/>
    <s v="Failure to perform periodic internal penetration tests may result in undetected internal vulnerabilities and increased security risks."/>
    <n v="2"/>
    <n v="4"/>
    <s v="Foreseeable, not expected"/>
    <n v="2"/>
    <n v="3"/>
    <n v="3"/>
    <n v="3"/>
    <n v="3"/>
    <n v="6"/>
    <n v="6"/>
    <n v="9"/>
    <n v="4"/>
    <s v="Hacking System"/>
    <n v="6"/>
    <s v="Accept"/>
    <s v=""/>
    <s v=""/>
    <m/>
    <s v=""/>
    <s v="Hacking System"/>
    <n v="2"/>
    <n v="4"/>
    <s v="Foreseeable, not expected"/>
    <n v="2"/>
    <n v="3"/>
    <n v="3"/>
    <n v="3"/>
    <n v="3"/>
    <n v="6"/>
    <n v="6"/>
    <s v=""/>
    <s v=""/>
    <m/>
    <s v=""/>
    <n v="6"/>
    <s v="Vulnerability ManagementOperationApplications"/>
    <s v="x"/>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C221728-BDD5-4F98-B39D-1FF723F8E424}" name="PivotTable1" cacheId="3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9">
  <location ref="A3:D20" firstHeaderRow="0" firstDataRow="1" firstDataCol="1" rowPageCount="1" colPageCount="1"/>
  <pivotFields count="69">
    <pivotField subtotalTop="0" showAll="0"/>
    <pivotField axis="axisPage"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7">
        <item sd="0" x="2"/>
        <item sd="0" x="13"/>
        <item sd="0" x="15"/>
        <item sd="0" x="11"/>
        <item sd="0" x="14"/>
        <item sd="0" x="0"/>
        <item sd="0" x="3"/>
        <item sd="0" x="9"/>
        <item sd="0" x="6"/>
        <item sd="0" x="1"/>
        <item sd="0" x="7"/>
        <item sd="0" x="5"/>
        <item sd="0" x="8"/>
        <item sd="0" x="10"/>
        <item sd="0" x="12"/>
        <item sd="0" x="4"/>
        <item t="default" sd="0"/>
      </items>
    </pivotField>
    <pivotField axis="axisRow" showAll="0">
      <items count="3">
        <item sd="0" x="0"/>
        <item x="1"/>
        <item t="default" sd="0"/>
      </items>
    </pivotField>
    <pivotField subtotalTop="0" showAll="0"/>
    <pivotField showAll="0" defaultSubtotal="0"/>
    <pivotField showAll="0"/>
    <pivotField subtotalTop="0" showAll="0"/>
    <pivotField subtotalTop="0" showAll="0"/>
    <pivotField showAll="0"/>
    <pivotField showAll="0"/>
    <pivotField showAll="0"/>
    <pivotField numFmtId="1" showAll="0"/>
    <pivotField showAll="0"/>
    <pivotField showAll="0"/>
    <pivotField subtotalTop="0" showAll="0"/>
    <pivotField subtotalTop="0" showAll="0"/>
    <pivotField subtotalTop="0" showAll="0"/>
    <pivotField subtotalTop="0" showAll="0"/>
    <pivotField subtotalTop="0" showAll="0"/>
    <pivotField subtotalTop="0" showAll="0"/>
    <pivotField subtotalTop="0" showAll="0"/>
    <pivotField dataField="1" showAll="0"/>
    <pivotField showAll="0"/>
    <pivotField showAll="0"/>
    <pivotField dataField="1" showAll="0"/>
    <pivotField subtotalTop="0" showAll="0"/>
    <pivotField showAll="0"/>
    <pivotField subtotalTop="0" showAll="0"/>
    <pivotField showAll="0"/>
    <pivotField showAll="0"/>
    <pivotField showAll="0"/>
    <pivotField showAll="0"/>
    <pivotField showAll="0"/>
    <pivotField showAll="0"/>
    <pivotField showAll="0"/>
    <pivotField subtotalTop="0" showAll="0"/>
    <pivotField subtotalTop="0" showAll="0"/>
    <pivotField subtotalTop="0" showAll="0"/>
    <pivotField showAll="0"/>
    <pivotField showAll="0"/>
    <pivotField numFmtId="2" subtotalTop="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4"/>
    <field x="15"/>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pageFields count="1">
    <pageField fld="1" hier="-1"/>
  </pageFields>
  <dataFields count="3">
    <dataField name="Acceptable Risk Level" fld="34" subtotal="average" baseField="13" baseItem="0" numFmtId="1"/>
    <dataField name="Current Risk Score (Max)" fld="37" subtotal="max" baseField="13" baseItem="0" numFmtId="2"/>
    <dataField name="Current Risk Score (Avg)" fld="37" subtotal="average" baseField="13" baseItem="0" numFmtId="2"/>
  </dataFields>
  <formats count="20">
    <format dxfId="442">
      <pivotArea dataOnly="0" labelOnly="1" outline="0" fieldPosition="0">
        <references count="1">
          <reference field="4294967294" count="1">
            <x v="0"/>
          </reference>
        </references>
      </pivotArea>
    </format>
    <format dxfId="441">
      <pivotArea dataOnly="0" labelOnly="1" outline="0" fieldPosition="0">
        <references count="1">
          <reference field="4294967294" count="1">
            <x v="0"/>
          </reference>
        </references>
      </pivotArea>
    </format>
    <format dxfId="440">
      <pivotArea dataOnly="0" labelOnly="1" outline="0" fieldPosition="0">
        <references count="1">
          <reference field="4294967294" count="2">
            <x v="1"/>
            <x v="2"/>
          </reference>
        </references>
      </pivotArea>
    </format>
    <format dxfId="439">
      <pivotArea collapsedLevelsAreSubtotals="1" fieldPosition="0">
        <references count="2">
          <reference field="4294967294" count="2" selected="0">
            <x v="1"/>
            <x v="2"/>
          </reference>
          <reference field="14" count="1">
            <x v="0"/>
          </reference>
        </references>
      </pivotArea>
    </format>
    <format dxfId="438">
      <pivotArea collapsedLevelsAreSubtotals="1" fieldPosition="0">
        <references count="2">
          <reference field="4294967294" count="2" selected="0">
            <x v="1"/>
            <x v="2"/>
          </reference>
          <reference field="14" count="1">
            <x v="1"/>
          </reference>
        </references>
      </pivotArea>
    </format>
    <format dxfId="437">
      <pivotArea collapsedLevelsAreSubtotals="1" fieldPosition="0">
        <references count="2">
          <reference field="4294967294" count="2" selected="0">
            <x v="1"/>
            <x v="2"/>
          </reference>
          <reference field="14" count="1">
            <x v="2"/>
          </reference>
        </references>
      </pivotArea>
    </format>
    <format dxfId="436">
      <pivotArea collapsedLevelsAreSubtotals="1" fieldPosition="0">
        <references count="2">
          <reference field="4294967294" count="2" selected="0">
            <x v="1"/>
            <x v="2"/>
          </reference>
          <reference field="14" count="1">
            <x v="3"/>
          </reference>
        </references>
      </pivotArea>
    </format>
    <format dxfId="435">
      <pivotArea collapsedLevelsAreSubtotals="1" fieldPosition="0">
        <references count="2">
          <reference field="4294967294" count="2" selected="0">
            <x v="1"/>
            <x v="2"/>
          </reference>
          <reference field="14" count="1">
            <x v="4"/>
          </reference>
        </references>
      </pivotArea>
    </format>
    <format dxfId="434">
      <pivotArea collapsedLevelsAreSubtotals="1" fieldPosition="0">
        <references count="2">
          <reference field="4294967294" count="2" selected="0">
            <x v="1"/>
            <x v="2"/>
          </reference>
          <reference field="14" count="1">
            <x v="5"/>
          </reference>
        </references>
      </pivotArea>
    </format>
    <format dxfId="433">
      <pivotArea collapsedLevelsAreSubtotals="1" fieldPosition="0">
        <references count="2">
          <reference field="4294967294" count="2" selected="0">
            <x v="1"/>
            <x v="2"/>
          </reference>
          <reference field="14" count="1">
            <x v="6"/>
          </reference>
        </references>
      </pivotArea>
    </format>
    <format dxfId="432">
      <pivotArea collapsedLevelsAreSubtotals="1" fieldPosition="0">
        <references count="2">
          <reference field="4294967294" count="2" selected="0">
            <x v="1"/>
            <x v="2"/>
          </reference>
          <reference field="14" count="1">
            <x v="7"/>
          </reference>
        </references>
      </pivotArea>
    </format>
    <format dxfId="431">
      <pivotArea collapsedLevelsAreSubtotals="1" fieldPosition="0">
        <references count="2">
          <reference field="4294967294" count="2" selected="0">
            <x v="1"/>
            <x v="2"/>
          </reference>
          <reference field="14" count="1">
            <x v="8"/>
          </reference>
        </references>
      </pivotArea>
    </format>
    <format dxfId="430">
      <pivotArea collapsedLevelsAreSubtotals="1" fieldPosition="0">
        <references count="2">
          <reference field="4294967294" count="2" selected="0">
            <x v="1"/>
            <x v="2"/>
          </reference>
          <reference field="14" count="1">
            <x v="9"/>
          </reference>
        </references>
      </pivotArea>
    </format>
    <format dxfId="429">
      <pivotArea collapsedLevelsAreSubtotals="1" fieldPosition="0">
        <references count="2">
          <reference field="4294967294" count="2" selected="0">
            <x v="1"/>
            <x v="2"/>
          </reference>
          <reference field="14" count="1">
            <x v="11"/>
          </reference>
        </references>
      </pivotArea>
    </format>
    <format dxfId="428">
      <pivotArea collapsedLevelsAreSubtotals="1" fieldPosition="0">
        <references count="2">
          <reference field="4294967294" count="2" selected="0">
            <x v="1"/>
            <x v="2"/>
          </reference>
          <reference field="14" count="1">
            <x v="14"/>
          </reference>
        </references>
      </pivotArea>
    </format>
    <format dxfId="427">
      <pivotArea collapsedLevelsAreSubtotals="1" fieldPosition="0">
        <references count="2">
          <reference field="4294967294" count="2" selected="0">
            <x v="1"/>
            <x v="2"/>
          </reference>
          <reference field="14" count="1">
            <x v="15"/>
          </reference>
        </references>
      </pivotArea>
    </format>
    <format dxfId="426">
      <pivotArea field="14" grandRow="1" outline="0" collapsedLevelsAreSubtotals="1" axis="axisRow" fieldPosition="0">
        <references count="1">
          <reference field="4294967294" count="2" selected="0">
            <x v="1"/>
            <x v="2"/>
          </reference>
        </references>
      </pivotArea>
    </format>
    <format dxfId="425">
      <pivotArea outline="0" fieldPosition="0">
        <references count="1">
          <reference field="4294967294" count="1">
            <x v="2"/>
          </reference>
        </references>
      </pivotArea>
    </format>
    <format dxfId="424">
      <pivotArea outline="0" fieldPosition="0">
        <references count="1">
          <reference field="4294967294" count="1">
            <x v="1"/>
          </reference>
        </references>
      </pivotArea>
    </format>
    <format dxfId="423">
      <pivotArea outline="0" fieldPosition="0">
        <references count="1">
          <reference field="4294967294" count="1">
            <x v="0"/>
          </reference>
        </references>
      </pivotArea>
    </format>
  </formats>
  <chartFormats count="12">
    <chartFormat chart="4" format="8" series="1">
      <pivotArea type="data" outline="0" fieldPosition="0">
        <references count="1">
          <reference field="4294967294" count="1" selected="0">
            <x v="0"/>
          </reference>
        </references>
      </pivotArea>
    </chartFormat>
    <chartFormat chart="5" format="8" series="1">
      <pivotArea type="data" outline="0" fieldPosition="0">
        <references count="1">
          <reference field="4294967294" count="1" selected="0">
            <x v="0"/>
          </reference>
        </references>
      </pivotArea>
    </chartFormat>
    <chartFormat chart="6" format="11" series="1">
      <pivotArea type="data" outline="0" fieldPosition="0">
        <references count="1">
          <reference field="4294967294" count="1" selected="0">
            <x v="0"/>
          </reference>
        </references>
      </pivotArea>
    </chartFormat>
    <chartFormat chart="18" format="12" series="1">
      <pivotArea type="data" outline="0" fieldPosition="0">
        <references count="1">
          <reference field="4294967294" count="1" selected="0">
            <x v="2"/>
          </reference>
        </references>
      </pivotArea>
    </chartFormat>
    <chartFormat chart="18" format="13" series="1">
      <pivotArea type="data" outline="0" fieldPosition="0">
        <references count="1">
          <reference field="4294967294" count="1" selected="0">
            <x v="0"/>
          </reference>
        </references>
      </pivotArea>
    </chartFormat>
    <chartFormat chart="18" format="16" series="1">
      <pivotArea type="data" outline="0" fieldPosition="0">
        <references count="1">
          <reference field="4294967294" count="1" selected="0">
            <x v="1"/>
          </reference>
        </references>
      </pivotArea>
    </chartFormat>
    <chartFormat chart="2" format="12" series="1">
      <pivotArea type="data" outline="0" fieldPosition="0">
        <references count="1">
          <reference field="4294967294" count="1" selected="0">
            <x v="2"/>
          </reference>
        </references>
      </pivotArea>
    </chartFormat>
    <chartFormat chart="2" format="13" series="1">
      <pivotArea type="data" outline="0" fieldPosition="0">
        <references count="1">
          <reference field="4294967294" count="1" selected="0">
            <x v="0"/>
          </reference>
        </references>
      </pivotArea>
    </chartFormat>
    <chartFormat chart="2" format="16" series="1">
      <pivotArea type="data" outline="0" fieldPosition="0">
        <references count="1">
          <reference field="4294967294" count="1" selected="0">
            <x v="1"/>
          </reference>
        </references>
      </pivotArea>
    </chartFormat>
    <chartFormat chart="20" format="17" series="1">
      <pivotArea type="data" outline="0" fieldPosition="0">
        <references count="1">
          <reference field="4294967294" count="1" selected="0">
            <x v="2"/>
          </reference>
        </references>
      </pivotArea>
    </chartFormat>
    <chartFormat chart="20" format="18" series="1">
      <pivotArea type="data" outline="0" fieldPosition="0">
        <references count="1">
          <reference field="4294967294" count="1" selected="0">
            <x v="0"/>
          </reference>
        </references>
      </pivotArea>
    </chartFormat>
    <chartFormat chart="20" format="19" series="1">
      <pivotArea type="data" outline="0" fieldPosition="0">
        <references count="1">
          <reference field="4294967294" count="1" selected="0">
            <x v="1"/>
          </reference>
        </references>
      </pivotArea>
    </chartFormat>
  </chart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3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31">
  <location ref="A3:H20" firstHeaderRow="0" firstDataRow="1" firstDataCol="1" rowPageCount="1" colPageCount="1"/>
  <pivotFields count="69">
    <pivotField subtotalTop="0" showAll="0"/>
    <pivotField axis="axisPage"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7">
        <item sd="0" x="2"/>
        <item sd="0" x="13"/>
        <item sd="0" x="15"/>
        <item sd="0" x="11"/>
        <item sd="0" x="14"/>
        <item sd="0" x="0"/>
        <item sd="0" x="3"/>
        <item sd="0" x="9"/>
        <item sd="0" x="6"/>
        <item sd="0" x="1"/>
        <item sd="0" x="7"/>
        <item sd="0" x="5"/>
        <item sd="0" x="8"/>
        <item sd="0" x="10"/>
        <item sd="0" x="12"/>
        <item sd="0" x="4"/>
        <item t="default" sd="0"/>
      </items>
    </pivotField>
    <pivotField axis="axisRow" showAll="0">
      <items count="3">
        <item sd="0" x="0"/>
        <item x="1"/>
        <item t="default" sd="0"/>
      </items>
    </pivotField>
    <pivotField subtotalTop="0" showAll="0"/>
    <pivotField showAll="0" defaultSubtotal="0"/>
    <pivotField showAll="0"/>
    <pivotField subtotalTop="0" showAll="0"/>
    <pivotField subtotalTop="0" showAll="0"/>
    <pivotField showAll="0"/>
    <pivotField showAll="0"/>
    <pivotField showAll="0"/>
    <pivotField numFmtId="1" showAll="0"/>
    <pivotField showAll="0"/>
    <pivotField showAll="0"/>
    <pivotField subtotalTop="0" showAll="0"/>
    <pivotField subtotalTop="0" showAll="0"/>
    <pivotField subtotalTop="0" showAll="0"/>
    <pivotField subtotalTop="0" showAll="0"/>
    <pivotField subtotalTop="0" showAll="0"/>
    <pivotField dataField="1" subtotalTop="0" showAll="0"/>
    <pivotField subtotalTop="0" showAll="0"/>
    <pivotField dataField="1" showAll="0"/>
    <pivotField showAll="0"/>
    <pivotField showAll="0"/>
    <pivotField dataField="1" showAll="0"/>
    <pivotField subtotalTop="0" showAll="0"/>
    <pivotField showAll="0"/>
    <pivotField subtotalTop="0" showAll="0"/>
    <pivotField showAll="0"/>
    <pivotField showAll="0"/>
    <pivotField showAll="0"/>
    <pivotField showAll="0"/>
    <pivotField showAll="0"/>
    <pivotField showAll="0"/>
    <pivotField showAll="0"/>
    <pivotField subtotalTop="0" showAll="0"/>
    <pivotField subtotalTop="0" showAll="0"/>
    <pivotField subtotalTop="0" showAll="0"/>
    <pivotField showAll="0"/>
    <pivotField dataField="1" showAll="0"/>
    <pivotField numFmtId="2" subtotalTop="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4"/>
    <field x="15"/>
  </rowFields>
  <rowItems count="17">
    <i>
      <x/>
    </i>
    <i>
      <x v="1"/>
    </i>
    <i>
      <x v="2"/>
    </i>
    <i>
      <x v="3"/>
    </i>
    <i>
      <x v="4"/>
    </i>
    <i>
      <x v="5"/>
    </i>
    <i>
      <x v="6"/>
    </i>
    <i>
      <x v="7"/>
    </i>
    <i>
      <x v="8"/>
    </i>
    <i>
      <x v="9"/>
    </i>
    <i>
      <x v="10"/>
    </i>
    <i>
      <x v="11"/>
    </i>
    <i>
      <x v="12"/>
    </i>
    <i>
      <x v="13"/>
    </i>
    <i>
      <x v="14"/>
    </i>
    <i>
      <x v="15"/>
    </i>
    <i t="grand">
      <x/>
    </i>
  </rowItems>
  <colFields count="1">
    <field x="-2"/>
  </colFields>
  <colItems count="7">
    <i>
      <x/>
    </i>
    <i i="1">
      <x v="1"/>
    </i>
    <i i="2">
      <x v="2"/>
    </i>
    <i i="3">
      <x v="3"/>
    </i>
    <i i="4">
      <x v="4"/>
    </i>
    <i i="5">
      <x v="5"/>
    </i>
    <i i="6">
      <x v="6"/>
    </i>
  </colItems>
  <pageFields count="1">
    <pageField fld="1" hier="-1"/>
  </pageFields>
  <dataFields count="7">
    <dataField name="Acceptable Risk Level" fld="34" subtotal="average" baseField="13" baseItem="3" numFmtId="1"/>
    <dataField name="Initial Risk Score (Max)" fld="32" subtotal="max" baseField="13" baseItem="3" numFmtId="2"/>
    <dataField name="Initial Risk Score (Avg)" fld="32" subtotal="average" baseField="13" baseItem="3" numFmtId="2"/>
    <dataField name="Current Risk Score (Max)" fld="37" subtotal="max" baseField="13" baseItem="3" numFmtId="2"/>
    <dataField name="Current Risk Score (Avg)" fld="37" subtotal="average" baseField="13" baseItem="3" numFmtId="2"/>
    <dataField name="Target Risk Score (Max)" fld="52" subtotal="max" baseField="13" baseItem="3" numFmtId="2"/>
    <dataField name="Target Risk Score (Avg)" fld="52" subtotal="average" baseField="13" baseItem="3" numFmtId="2"/>
  </dataFields>
  <formats count="26">
    <format dxfId="422">
      <pivotArea dataOnly="0" labelOnly="1" outline="0" fieldPosition="0">
        <references count="1">
          <reference field="4294967294" count="3">
            <x v="0"/>
            <x v="1"/>
            <x v="2"/>
          </reference>
        </references>
      </pivotArea>
    </format>
    <format dxfId="421">
      <pivotArea dataOnly="0" labelOnly="1" outline="0" fieldPosition="0">
        <references count="1">
          <reference field="4294967294" count="3">
            <x v="0"/>
            <x v="1"/>
            <x v="2"/>
          </reference>
        </references>
      </pivotArea>
    </format>
    <format dxfId="420">
      <pivotArea dataOnly="0" labelOnly="1" outline="0" fieldPosition="0">
        <references count="1">
          <reference field="4294967294" count="2">
            <x v="5"/>
            <x v="6"/>
          </reference>
        </references>
      </pivotArea>
    </format>
    <format dxfId="419">
      <pivotArea outline="0" collapsedLevelsAreSubtotals="1" fieldPosition="0">
        <references count="1">
          <reference field="4294967294" count="1" selected="0">
            <x v="2"/>
          </reference>
        </references>
      </pivotArea>
    </format>
    <format dxfId="418">
      <pivotArea dataOnly="0" labelOnly="1" outline="0" fieldPosition="0">
        <references count="1">
          <reference field="4294967294" count="2">
            <x v="3"/>
            <x v="4"/>
          </reference>
        </references>
      </pivotArea>
    </format>
    <format dxfId="417">
      <pivotArea collapsedLevelsAreSubtotals="1" fieldPosition="0">
        <references count="2">
          <reference field="4294967294" count="6" selected="0">
            <x v="1"/>
            <x v="2"/>
            <x v="3"/>
            <x v="4"/>
            <x v="5"/>
            <x v="6"/>
          </reference>
          <reference field="14" count="1">
            <x v="0"/>
          </reference>
        </references>
      </pivotArea>
    </format>
    <format dxfId="416">
      <pivotArea collapsedLevelsAreSubtotals="1" fieldPosition="0">
        <references count="2">
          <reference field="4294967294" count="6" selected="0">
            <x v="1"/>
            <x v="2"/>
            <x v="3"/>
            <x v="4"/>
            <x v="5"/>
            <x v="6"/>
          </reference>
          <reference field="14" count="1">
            <x v="1"/>
          </reference>
        </references>
      </pivotArea>
    </format>
    <format dxfId="415">
      <pivotArea collapsedLevelsAreSubtotals="1" fieldPosition="0">
        <references count="2">
          <reference field="4294967294" count="6" selected="0">
            <x v="1"/>
            <x v="2"/>
            <x v="3"/>
            <x v="4"/>
            <x v="5"/>
            <x v="6"/>
          </reference>
          <reference field="14" count="1">
            <x v="2"/>
          </reference>
        </references>
      </pivotArea>
    </format>
    <format dxfId="414">
      <pivotArea collapsedLevelsAreSubtotals="1" fieldPosition="0">
        <references count="2">
          <reference field="4294967294" count="6" selected="0">
            <x v="1"/>
            <x v="2"/>
            <x v="3"/>
            <x v="4"/>
            <x v="5"/>
            <x v="6"/>
          </reference>
          <reference field="14" count="1">
            <x v="3"/>
          </reference>
        </references>
      </pivotArea>
    </format>
    <format dxfId="413">
      <pivotArea collapsedLevelsAreSubtotals="1" fieldPosition="0">
        <references count="2">
          <reference field="4294967294" count="6" selected="0">
            <x v="1"/>
            <x v="2"/>
            <x v="3"/>
            <x v="4"/>
            <x v="5"/>
            <x v="6"/>
          </reference>
          <reference field="14" count="1">
            <x v="4"/>
          </reference>
        </references>
      </pivotArea>
    </format>
    <format dxfId="412">
      <pivotArea collapsedLevelsAreSubtotals="1" fieldPosition="0">
        <references count="2">
          <reference field="4294967294" count="6" selected="0">
            <x v="1"/>
            <x v="2"/>
            <x v="3"/>
            <x v="4"/>
            <x v="5"/>
            <x v="6"/>
          </reference>
          <reference field="14" count="1">
            <x v="5"/>
          </reference>
        </references>
      </pivotArea>
    </format>
    <format dxfId="411">
      <pivotArea collapsedLevelsAreSubtotals="1" fieldPosition="0">
        <references count="2">
          <reference field="4294967294" count="6" selected="0">
            <x v="1"/>
            <x v="2"/>
            <x v="3"/>
            <x v="4"/>
            <x v="5"/>
            <x v="6"/>
          </reference>
          <reference field="14" count="1">
            <x v="6"/>
          </reference>
        </references>
      </pivotArea>
    </format>
    <format dxfId="410">
      <pivotArea collapsedLevelsAreSubtotals="1" fieldPosition="0">
        <references count="2">
          <reference field="4294967294" count="6" selected="0">
            <x v="1"/>
            <x v="2"/>
            <x v="3"/>
            <x v="4"/>
            <x v="5"/>
            <x v="6"/>
          </reference>
          <reference field="14" count="1">
            <x v="7"/>
          </reference>
        </references>
      </pivotArea>
    </format>
    <format dxfId="409">
      <pivotArea collapsedLevelsAreSubtotals="1" fieldPosition="0">
        <references count="2">
          <reference field="4294967294" count="6" selected="0">
            <x v="1"/>
            <x v="2"/>
            <x v="3"/>
            <x v="4"/>
            <x v="5"/>
            <x v="6"/>
          </reference>
          <reference field="14" count="1">
            <x v="8"/>
          </reference>
        </references>
      </pivotArea>
    </format>
    <format dxfId="408">
      <pivotArea collapsedLevelsAreSubtotals="1" fieldPosition="0">
        <references count="2">
          <reference field="4294967294" count="6" selected="0">
            <x v="1"/>
            <x v="2"/>
            <x v="3"/>
            <x v="4"/>
            <x v="5"/>
            <x v="6"/>
          </reference>
          <reference field="14" count="1">
            <x v="9"/>
          </reference>
        </references>
      </pivotArea>
    </format>
    <format dxfId="407">
      <pivotArea collapsedLevelsAreSubtotals="1" fieldPosition="0">
        <references count="2">
          <reference field="4294967294" count="6" selected="0">
            <x v="1"/>
            <x v="2"/>
            <x v="3"/>
            <x v="4"/>
            <x v="5"/>
            <x v="6"/>
          </reference>
          <reference field="14" count="1">
            <x v="11"/>
          </reference>
        </references>
      </pivotArea>
    </format>
    <format dxfId="406">
      <pivotArea collapsedLevelsAreSubtotals="1" fieldPosition="0">
        <references count="2">
          <reference field="4294967294" count="6" selected="0">
            <x v="1"/>
            <x v="2"/>
            <x v="3"/>
            <x v="4"/>
            <x v="5"/>
            <x v="6"/>
          </reference>
          <reference field="14" count="1">
            <x v="14"/>
          </reference>
        </references>
      </pivotArea>
    </format>
    <format dxfId="405">
      <pivotArea collapsedLevelsAreSubtotals="1" fieldPosition="0">
        <references count="2">
          <reference field="4294967294" count="6" selected="0">
            <x v="1"/>
            <x v="2"/>
            <x v="3"/>
            <x v="4"/>
            <x v="5"/>
            <x v="6"/>
          </reference>
          <reference field="14" count="1">
            <x v="15"/>
          </reference>
        </references>
      </pivotArea>
    </format>
    <format dxfId="404">
      <pivotArea field="14" grandRow="1" outline="0" collapsedLevelsAreSubtotals="1" axis="axisRow" fieldPosition="0">
        <references count="1">
          <reference field="4294967294" count="6" selected="0">
            <x v="1"/>
            <x v="2"/>
            <x v="3"/>
            <x v="4"/>
            <x v="5"/>
            <x v="6"/>
          </reference>
        </references>
      </pivotArea>
    </format>
    <format dxfId="403">
      <pivotArea outline="0" fieldPosition="0">
        <references count="1">
          <reference field="4294967294" count="1">
            <x v="2"/>
          </reference>
        </references>
      </pivotArea>
    </format>
    <format dxfId="402">
      <pivotArea outline="0" fieldPosition="0">
        <references count="1">
          <reference field="4294967294" count="1">
            <x v="3"/>
          </reference>
        </references>
      </pivotArea>
    </format>
    <format dxfId="401">
      <pivotArea outline="0" fieldPosition="0">
        <references count="1">
          <reference field="4294967294" count="1">
            <x v="4"/>
          </reference>
        </references>
      </pivotArea>
    </format>
    <format dxfId="400">
      <pivotArea outline="0" fieldPosition="0">
        <references count="1">
          <reference field="4294967294" count="1">
            <x v="1"/>
          </reference>
        </references>
      </pivotArea>
    </format>
    <format dxfId="399">
      <pivotArea outline="0" fieldPosition="0">
        <references count="1">
          <reference field="4294967294" count="1">
            <x v="0"/>
          </reference>
        </references>
      </pivotArea>
    </format>
    <format dxfId="398">
      <pivotArea outline="0" fieldPosition="0">
        <references count="1">
          <reference field="4294967294" count="1">
            <x v="5"/>
          </reference>
        </references>
      </pivotArea>
    </format>
    <format dxfId="397">
      <pivotArea outline="0" fieldPosition="0">
        <references count="1">
          <reference field="4294967294" count="1">
            <x v="6"/>
          </reference>
        </references>
      </pivotArea>
    </format>
  </formats>
  <chartFormats count="23">
    <chartFormat chart="4" format="6" series="1">
      <pivotArea type="data" outline="0" fieldPosition="0">
        <references count="1">
          <reference field="4294967294" count="1" selected="0">
            <x v="2"/>
          </reference>
        </references>
      </pivotArea>
    </chartFormat>
    <chartFormat chart="4" format="7" series="1">
      <pivotArea type="data" outline="0" fieldPosition="0">
        <references count="1">
          <reference field="4294967294" count="1" selected="0">
            <x v="1"/>
          </reference>
        </references>
      </pivotArea>
    </chartFormat>
    <chartFormat chart="4" format="8" series="1">
      <pivotArea type="data" outline="0" fieldPosition="0">
        <references count="1">
          <reference field="4294967294" count="1" selected="0">
            <x v="0"/>
          </reference>
        </references>
      </pivotArea>
    </chartFormat>
    <chartFormat chart="5" format="6" series="1">
      <pivotArea type="data" outline="0" fieldPosition="0">
        <references count="1">
          <reference field="4294967294" count="1" selected="0">
            <x v="2"/>
          </reference>
        </references>
      </pivotArea>
    </chartFormat>
    <chartFormat chart="5" format="7" series="1">
      <pivotArea type="data" outline="0" fieldPosition="0">
        <references count="1">
          <reference field="4294967294" count="1" selected="0">
            <x v="1"/>
          </reference>
        </references>
      </pivotArea>
    </chartFormat>
    <chartFormat chart="5" format="8" series="1">
      <pivotArea type="data" outline="0" fieldPosition="0">
        <references count="1">
          <reference field="4294967294" count="1" selected="0">
            <x v="0"/>
          </reference>
        </references>
      </pivotArea>
    </chartFormat>
    <chartFormat chart="6" format="9" series="1">
      <pivotArea type="data" outline="0" fieldPosition="0">
        <references count="1">
          <reference field="4294967294" count="1" selected="0">
            <x v="2"/>
          </reference>
        </references>
      </pivotArea>
    </chartFormat>
    <chartFormat chart="6" format="10" series="1">
      <pivotArea type="data" outline="0" fieldPosition="0">
        <references count="1">
          <reference field="4294967294" count="1" selected="0">
            <x v="1"/>
          </reference>
        </references>
      </pivotArea>
    </chartFormat>
    <chartFormat chart="6" format="11" series="1">
      <pivotArea type="data" outline="0" fieldPosition="0">
        <references count="1">
          <reference field="4294967294" count="1" selected="0">
            <x v="0"/>
          </reference>
        </references>
      </pivotArea>
    </chartFormat>
    <chartFormat chart="18" format="10" series="1">
      <pivotArea type="data" outline="0" fieldPosition="0">
        <references count="1">
          <reference field="4294967294" count="1" selected="0">
            <x v="2"/>
          </reference>
        </references>
      </pivotArea>
    </chartFormat>
    <chartFormat chart="18" format="11" series="1">
      <pivotArea type="data" outline="0" fieldPosition="0">
        <references count="1">
          <reference field="4294967294" count="1" selected="0">
            <x v="6"/>
          </reference>
        </references>
      </pivotArea>
    </chartFormat>
    <chartFormat chart="18" format="12" series="1">
      <pivotArea type="data" outline="0" fieldPosition="0">
        <references count="1">
          <reference field="4294967294" count="1" selected="0">
            <x v="4"/>
          </reference>
        </references>
      </pivotArea>
    </chartFormat>
    <chartFormat chart="18" format="13" series="1">
      <pivotArea type="data" outline="0" fieldPosition="0">
        <references count="1">
          <reference field="4294967294" count="1" selected="0">
            <x v="0"/>
          </reference>
        </references>
      </pivotArea>
    </chartFormat>
    <chartFormat chart="18" format="14" series="1">
      <pivotArea type="data" outline="0" fieldPosition="0">
        <references count="1">
          <reference field="4294967294" count="1" selected="0">
            <x v="1"/>
          </reference>
        </references>
      </pivotArea>
    </chartFormat>
    <chartFormat chart="18" format="15" series="1">
      <pivotArea type="data" outline="0" fieldPosition="0">
        <references count="1">
          <reference field="4294967294" count="1" selected="0">
            <x v="5"/>
          </reference>
        </references>
      </pivotArea>
    </chartFormat>
    <chartFormat chart="18" format="16" series="1">
      <pivotArea type="data" outline="0" fieldPosition="0">
        <references count="1">
          <reference field="4294967294" count="1" selected="0">
            <x v="3"/>
          </reference>
        </references>
      </pivotArea>
    </chartFormat>
    <chartFormat chart="2" format="10" series="1">
      <pivotArea type="data" outline="0" fieldPosition="0">
        <references count="1">
          <reference field="4294967294" count="1" selected="0">
            <x v="2"/>
          </reference>
        </references>
      </pivotArea>
    </chartFormat>
    <chartFormat chart="2" format="11" series="1">
      <pivotArea type="data" outline="0" fieldPosition="0">
        <references count="1">
          <reference field="4294967294" count="1" selected="0">
            <x v="6"/>
          </reference>
        </references>
      </pivotArea>
    </chartFormat>
    <chartFormat chart="2" format="12" series="1">
      <pivotArea type="data" outline="0" fieldPosition="0">
        <references count="1">
          <reference field="4294967294" count="1" selected="0">
            <x v="4"/>
          </reference>
        </references>
      </pivotArea>
    </chartFormat>
    <chartFormat chart="2" format="13" series="1">
      <pivotArea type="data" outline="0" fieldPosition="0">
        <references count="1">
          <reference field="4294967294" count="1" selected="0">
            <x v="0"/>
          </reference>
        </references>
      </pivotArea>
    </chartFormat>
    <chartFormat chart="2" format="14" series="1">
      <pivotArea type="data" outline="0" fieldPosition="0">
        <references count="1">
          <reference field="4294967294" count="1" selected="0">
            <x v="1"/>
          </reference>
        </references>
      </pivotArea>
    </chartFormat>
    <chartFormat chart="2" format="15" series="1">
      <pivotArea type="data" outline="0" fieldPosition="0">
        <references count="1">
          <reference field="4294967294" count="1" selected="0">
            <x v="5"/>
          </reference>
        </references>
      </pivotArea>
    </chartFormat>
    <chartFormat chart="2" format="16" series="1">
      <pivotArea type="data" outline="0" fieldPosition="0">
        <references count="1">
          <reference field="4294967294" count="1" selected="0">
            <x v="3"/>
          </reference>
        </references>
      </pivotArea>
    </chartFormat>
  </chart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3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33">
  <location ref="A3:H13" firstHeaderRow="0" firstDataRow="1" firstDataCol="1"/>
  <pivotFields count="69">
    <pivotField subtotalTop="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ubtotalTop="0" showAll="0">
      <items count="10">
        <item x="1"/>
        <item x="2"/>
        <item x="6"/>
        <item x="3"/>
        <item x="4"/>
        <item x="5"/>
        <item x="8"/>
        <item x="7"/>
        <item x="0"/>
        <item t="default"/>
      </items>
    </pivotField>
    <pivotField showAll="0" defaultSubtotal="0"/>
    <pivotField showAll="0"/>
    <pivotField subtotalTop="0" showAll="0"/>
    <pivotField subtotalTop="0" showAll="0"/>
    <pivotField showAll="0"/>
    <pivotField showAll="0"/>
    <pivotField showAll="0"/>
    <pivotField numFmtId="1" showAll="0"/>
    <pivotField showAll="0"/>
    <pivotField showAll="0"/>
    <pivotField subtotalTop="0" showAll="0"/>
    <pivotField subtotalTop="0" showAll="0"/>
    <pivotField subtotalTop="0" showAll="0"/>
    <pivotField subtotalTop="0" showAll="0"/>
    <pivotField subtotalTop="0" showAll="0"/>
    <pivotField dataField="1" subtotalTop="0" showAll="0"/>
    <pivotField subtotalTop="0" showAll="0"/>
    <pivotField dataField="1" showAll="0"/>
    <pivotField showAll="0"/>
    <pivotField showAll="0"/>
    <pivotField dataField="1" showAll="0"/>
    <pivotField subtotalTop="0" showAll="0"/>
    <pivotField showAll="0"/>
    <pivotField subtotalTop="0" showAll="0"/>
    <pivotField showAll="0"/>
    <pivotField showAll="0"/>
    <pivotField showAll="0"/>
    <pivotField showAll="0"/>
    <pivotField showAll="0"/>
    <pivotField showAll="0"/>
    <pivotField showAll="0"/>
    <pivotField subtotalTop="0" showAll="0"/>
    <pivotField subtotalTop="0" showAll="0"/>
    <pivotField subtotalTop="0" showAll="0"/>
    <pivotField showAll="0"/>
    <pivotField dataField="1" showAll="0"/>
    <pivotField numFmtId="2" subtotalTop="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6"/>
  </rowFields>
  <rowItems count="10">
    <i>
      <x/>
    </i>
    <i>
      <x v="1"/>
    </i>
    <i>
      <x v="2"/>
    </i>
    <i>
      <x v="3"/>
    </i>
    <i>
      <x v="4"/>
    </i>
    <i>
      <x v="5"/>
    </i>
    <i>
      <x v="6"/>
    </i>
    <i>
      <x v="7"/>
    </i>
    <i>
      <x v="8"/>
    </i>
    <i t="grand">
      <x/>
    </i>
  </rowItems>
  <colFields count="1">
    <field x="-2"/>
  </colFields>
  <colItems count="7">
    <i>
      <x/>
    </i>
    <i i="1">
      <x v="1"/>
    </i>
    <i i="2">
      <x v="2"/>
    </i>
    <i i="3">
      <x v="3"/>
    </i>
    <i i="4">
      <x v="4"/>
    </i>
    <i i="5">
      <x v="5"/>
    </i>
    <i i="6">
      <x v="6"/>
    </i>
  </colItems>
  <dataFields count="7">
    <dataField name="Acceptable Risk Level" fld="34" subtotal="average" baseField="15" baseItem="4" numFmtId="1"/>
    <dataField name="Initial Risk Score (Max)" fld="32" subtotal="max" baseField="15" baseItem="1" numFmtId="2"/>
    <dataField name="Initial Risk Score (Avg)" fld="32" subtotal="average" baseField="15" baseItem="2" numFmtId="2"/>
    <dataField name="Current Risk Score (Max)" fld="37" subtotal="max" baseField="15" baseItem="2" numFmtId="2"/>
    <dataField name="Current Risk Score (Avg)" fld="37" subtotal="average" baseField="15" baseItem="2" numFmtId="2"/>
    <dataField name="Target Risk Score (Max)" fld="52" subtotal="max" baseField="15" baseItem="2" numFmtId="2"/>
    <dataField name="Target Risk Score (Avg)" fld="52" subtotal="average" baseField="15" baseItem="2" numFmtId="2"/>
  </dataFields>
  <formats count="13">
    <format dxfId="396">
      <pivotArea dataOnly="0" labelOnly="1" outline="0" fieldPosition="0">
        <references count="1">
          <reference field="4294967294" count="3">
            <x v="0"/>
            <x v="1"/>
            <x v="2"/>
          </reference>
        </references>
      </pivotArea>
    </format>
    <format dxfId="395">
      <pivotArea dataOnly="0" labelOnly="1" outline="0" fieldPosition="0">
        <references count="1">
          <reference field="4294967294" count="3">
            <x v="0"/>
            <x v="1"/>
            <x v="2"/>
          </reference>
        </references>
      </pivotArea>
    </format>
    <format dxfId="394">
      <pivotArea dataOnly="0" labelOnly="1" outline="0" fieldPosition="0">
        <references count="1">
          <reference field="4294967294" count="2">
            <x v="5"/>
            <x v="6"/>
          </reference>
        </references>
      </pivotArea>
    </format>
    <format dxfId="393">
      <pivotArea outline="0" collapsedLevelsAreSubtotals="1" fieldPosition="0">
        <references count="1">
          <reference field="4294967294" count="1" selected="0">
            <x v="2"/>
          </reference>
        </references>
      </pivotArea>
    </format>
    <format dxfId="392">
      <pivotArea dataOnly="0" labelOnly="1" outline="0" fieldPosition="0">
        <references count="1">
          <reference field="4294967294" count="2">
            <x v="3"/>
            <x v="4"/>
          </reference>
        </references>
      </pivotArea>
    </format>
    <format dxfId="391">
      <pivotArea field="14" grandRow="1" outline="0" collapsedLevelsAreSubtotals="1">
        <references count="1">
          <reference field="4294967294" count="6" selected="0">
            <x v="1"/>
            <x v="2"/>
            <x v="3"/>
            <x v="4"/>
            <x v="5"/>
            <x v="6"/>
          </reference>
        </references>
      </pivotArea>
    </format>
    <format dxfId="390">
      <pivotArea outline="0" fieldPosition="0">
        <references count="1">
          <reference field="4294967294" count="1">
            <x v="0"/>
          </reference>
        </references>
      </pivotArea>
    </format>
    <format dxfId="389">
      <pivotArea outline="0" fieldPosition="0">
        <references count="1">
          <reference field="4294967294" count="1">
            <x v="1"/>
          </reference>
        </references>
      </pivotArea>
    </format>
    <format dxfId="388">
      <pivotArea outline="0" fieldPosition="0">
        <references count="1">
          <reference field="4294967294" count="1">
            <x v="2"/>
          </reference>
        </references>
      </pivotArea>
    </format>
    <format dxfId="387">
      <pivotArea outline="0" fieldPosition="0">
        <references count="1">
          <reference field="4294967294" count="1">
            <x v="3"/>
          </reference>
        </references>
      </pivotArea>
    </format>
    <format dxfId="386">
      <pivotArea outline="0" fieldPosition="0">
        <references count="1">
          <reference field="4294967294" count="1">
            <x v="4"/>
          </reference>
        </references>
      </pivotArea>
    </format>
    <format dxfId="385">
      <pivotArea outline="0" fieldPosition="0">
        <references count="1">
          <reference field="4294967294" count="1">
            <x v="5"/>
          </reference>
        </references>
      </pivotArea>
    </format>
    <format dxfId="384">
      <pivotArea outline="0" fieldPosition="0">
        <references count="1">
          <reference field="4294967294" count="1">
            <x v="6"/>
          </reference>
        </references>
      </pivotArea>
    </format>
  </formats>
  <chartFormats count="23">
    <chartFormat chart="2" format="2" series="1">
      <pivotArea type="data" outline="0" fieldPosition="0">
        <references count="1">
          <reference field="4294967294" count="1" selected="0">
            <x v="2"/>
          </reference>
        </references>
      </pivotArea>
    </chartFormat>
    <chartFormat chart="2" format="3" series="1">
      <pivotArea type="data" outline="0" fieldPosition="0">
        <references count="1">
          <reference field="4294967294" count="1" selected="0">
            <x v="1"/>
          </reference>
        </references>
      </pivotArea>
    </chartFormat>
    <chartFormat chart="2" format="5" series="1">
      <pivotArea type="data" outline="0" fieldPosition="0">
        <references count="1">
          <reference field="4294967294" count="1" selected="0">
            <x v="0"/>
          </reference>
        </references>
      </pivotArea>
    </chartFormat>
    <chartFormat chart="4" format="6" series="1">
      <pivotArea type="data" outline="0" fieldPosition="0">
        <references count="1">
          <reference field="4294967294" count="1" selected="0">
            <x v="2"/>
          </reference>
        </references>
      </pivotArea>
    </chartFormat>
    <chartFormat chart="4" format="7" series="1">
      <pivotArea type="data" outline="0" fieldPosition="0">
        <references count="1">
          <reference field="4294967294" count="1" selected="0">
            <x v="1"/>
          </reference>
        </references>
      </pivotArea>
    </chartFormat>
    <chartFormat chart="4" format="8" series="1">
      <pivotArea type="data" outline="0" fieldPosition="0">
        <references count="1">
          <reference field="4294967294" count="1" selected="0">
            <x v="0"/>
          </reference>
        </references>
      </pivotArea>
    </chartFormat>
    <chartFormat chart="5" format="6" series="1">
      <pivotArea type="data" outline="0" fieldPosition="0">
        <references count="1">
          <reference field="4294967294" count="1" selected="0">
            <x v="2"/>
          </reference>
        </references>
      </pivotArea>
    </chartFormat>
    <chartFormat chart="5" format="7" series="1">
      <pivotArea type="data" outline="0" fieldPosition="0">
        <references count="1">
          <reference field="4294967294" count="1" selected="0">
            <x v="1"/>
          </reference>
        </references>
      </pivotArea>
    </chartFormat>
    <chartFormat chart="5" format="8" series="1">
      <pivotArea type="data" outline="0" fieldPosition="0">
        <references count="1">
          <reference field="4294967294" count="1" selected="0">
            <x v="0"/>
          </reference>
        </references>
      </pivotArea>
    </chartFormat>
    <chartFormat chart="6" format="9" series="1">
      <pivotArea type="data" outline="0" fieldPosition="0">
        <references count="1">
          <reference field="4294967294" count="1" selected="0">
            <x v="2"/>
          </reference>
        </references>
      </pivotArea>
    </chartFormat>
    <chartFormat chart="6" format="10" series="1">
      <pivotArea type="data" outline="0" fieldPosition="0">
        <references count="1">
          <reference field="4294967294" count="1" selected="0">
            <x v="1"/>
          </reference>
        </references>
      </pivotArea>
    </chartFormat>
    <chartFormat chart="6" format="11" series="1">
      <pivotArea type="data" outline="0" fieldPosition="0">
        <references count="1">
          <reference field="4294967294" count="1" selected="0">
            <x v="0"/>
          </reference>
        </references>
      </pivotArea>
    </chartFormat>
    <chartFormat chart="2" format="6" series="1">
      <pivotArea type="data" outline="0" fieldPosition="0">
        <references count="1">
          <reference field="4294967294" count="1" selected="0">
            <x v="6"/>
          </reference>
        </references>
      </pivotArea>
    </chartFormat>
    <chartFormat chart="2" format="7" series="1">
      <pivotArea type="data" outline="0" fieldPosition="0">
        <references count="1">
          <reference field="4294967294" count="1" selected="0">
            <x v="5"/>
          </reference>
        </references>
      </pivotArea>
    </chartFormat>
    <chartFormat chart="2" format="8" series="1">
      <pivotArea type="data" outline="0" fieldPosition="0">
        <references count="1">
          <reference field="4294967294" count="1" selected="0">
            <x v="4"/>
          </reference>
        </references>
      </pivotArea>
    </chartFormat>
    <chartFormat chart="2" format="9" series="1">
      <pivotArea type="data" outline="0" fieldPosition="0">
        <references count="1">
          <reference field="4294967294" count="1" selected="0">
            <x v="3"/>
          </reference>
        </references>
      </pivotArea>
    </chartFormat>
    <chartFormat chart="12" format="17" series="1">
      <pivotArea type="data" outline="0" fieldPosition="0">
        <references count="1">
          <reference field="4294967294" count="1" selected="0">
            <x v="2"/>
          </reference>
        </references>
      </pivotArea>
    </chartFormat>
    <chartFormat chart="12" format="18" series="1">
      <pivotArea type="data" outline="0" fieldPosition="0">
        <references count="1">
          <reference field="4294967294" count="1" selected="0">
            <x v="4"/>
          </reference>
        </references>
      </pivotArea>
    </chartFormat>
    <chartFormat chart="12" format="19" series="1">
      <pivotArea type="data" outline="0" fieldPosition="0">
        <references count="1">
          <reference field="4294967294" count="1" selected="0">
            <x v="6"/>
          </reference>
        </references>
      </pivotArea>
    </chartFormat>
    <chartFormat chart="12" format="20" series="1">
      <pivotArea type="data" outline="0" fieldPosition="0">
        <references count="1">
          <reference field="4294967294" count="1" selected="0">
            <x v="0"/>
          </reference>
        </references>
      </pivotArea>
    </chartFormat>
    <chartFormat chart="12" format="21" series="1">
      <pivotArea type="data" outline="0" fieldPosition="0">
        <references count="1">
          <reference field="4294967294" count="1" selected="0">
            <x v="1"/>
          </reference>
        </references>
      </pivotArea>
    </chartFormat>
    <chartFormat chart="12" format="22" series="1">
      <pivotArea type="data" outline="0" fieldPosition="0">
        <references count="1">
          <reference field="4294967294" count="1" selected="0">
            <x v="3"/>
          </reference>
        </references>
      </pivotArea>
    </chartFormat>
    <chartFormat chart="12" format="23" series="1">
      <pivotArea type="data" outline="0" fieldPosition="0">
        <references count="1">
          <reference field="4294967294" count="1" selected="0">
            <x v="5"/>
          </reference>
        </references>
      </pivotArea>
    </chartFormat>
  </chart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76575FB-645A-4C34-A799-8A3431427953}" name="PivotTable1" cacheId="3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D20" firstHeaderRow="0" firstDataRow="1" firstDataCol="1"/>
  <pivotFields count="6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17">
        <item x="2"/>
        <item x="13"/>
        <item x="15"/>
        <item x="11"/>
        <item x="14"/>
        <item x="0"/>
        <item x="3"/>
        <item x="9"/>
        <item x="6"/>
        <item x="1"/>
        <item x="7"/>
        <item x="8"/>
        <item x="5"/>
        <item x="10"/>
        <item x="1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Average of Impact to Mission" fld="28" subtotal="average" baseField="13" baseItem="0"/>
    <dataField name="Average of Impact to Objectives" fld="29" subtotal="average" baseField="13" baseItem="0"/>
    <dataField name="Average of Impact to Obligations" fld="30" subtotal="average" baseField="13" baseItem="0"/>
  </dataField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8D04879-6F10-4A4A-B6A4-615E0F789D47}" name="Table68" displayName="Table68" ref="A9:W19" totalsRowShown="0" headerRowDxfId="468" dataDxfId="467" tableBorderDxfId="466" headerRowCellStyle="60% - Accent1" dataCellStyle="Normal 2">
  <autoFilter ref="A9:W19" xr:uid="{525B4F4A-7004-4557-8ED0-B54729C8F7D2}"/>
  <sortState xmlns:xlrd2="http://schemas.microsoft.com/office/spreadsheetml/2017/richdata2" ref="A10:W19">
    <sortCondition ref="B9:B19"/>
  </sortState>
  <tableColumns count="23">
    <tableColumn id="1" xr3:uid="{C9CBAEC3-E737-4AB8-8F27-B3039A45E504}" name="Project" dataDxfId="465" dataCellStyle="Normal 2"/>
    <tableColumn id="3" xr3:uid="{63B42814-0F04-4D8A-AEFA-EEC20985C2DA}" name="Risk Treatment Program" dataDxfId="464" dataCellStyle="Normal 2"/>
    <tableColumn id="4" xr3:uid="{982ACA89-D644-4C0E-ACE8-2D4357F48C22}" name="Step" dataDxfId="463" dataCellStyle="Normal 2"/>
    <tableColumn id="5" xr3:uid="{86DCCAEE-37AD-4105-9E2F-61F015E1C88D}" name="Feasibility" dataDxfId="462" dataCellStyle="Normal 2"/>
    <tableColumn id="6" xr3:uid="{D9B4C1D1-5A4B-4C2A-82A8-5719347216D7}" name="Responsibility" dataDxfId="461" dataCellStyle="Normal 2"/>
    <tableColumn id="7" xr3:uid="{56700CD5-2093-4317-A4CC-970AF08AF87F}" name="Resources" dataDxfId="460" dataCellStyle="Normal 2"/>
    <tableColumn id="8" xr3:uid="{9E5CEF4E-0FF4-442C-A5A8-0B757A14F33F}" name="Status" dataDxfId="459" dataCellStyle="Normal 2"/>
    <tableColumn id="9" xr3:uid="{3DF78718-1F3E-4EFB-81EF-123F95E589EF}" name="Jul-22" dataDxfId="458" dataCellStyle="Normal 2"/>
    <tableColumn id="10" xr3:uid="{6898AD49-5C01-4714-8B11-B53033DAB4C1}" name="Aug-22" dataDxfId="457" dataCellStyle="Normal 2"/>
    <tableColumn id="11" xr3:uid="{DCDB79CB-E8F4-42B0-ADA3-8ED6DEDA182A}" name="Sep-22" dataDxfId="456" dataCellStyle="Normal 2"/>
    <tableColumn id="12" xr3:uid="{379C7CE9-C13D-4935-90BA-054F987C7ECE}" name="Oct-22" dataDxfId="455" dataCellStyle="Normal 2"/>
    <tableColumn id="13" xr3:uid="{7A90FF66-72CE-4F88-89D1-DAE783E06C51}" name="Nov-22" dataDxfId="454" dataCellStyle="Normal 2"/>
    <tableColumn id="14" xr3:uid="{8EDCAA02-6FE8-464B-933F-75AFBEB73063}" name="Dec-22" dataDxfId="453" dataCellStyle="Normal 2"/>
    <tableColumn id="15" xr3:uid="{7D4B5E68-7A66-45CC-87CE-E7532E6DCCAF}" name="Jan-23" dataDxfId="452" dataCellStyle="Normal 2"/>
    <tableColumn id="16" xr3:uid="{C4205105-C3E2-433B-AC04-DB65325F2EBA}" name="Feb-23" dataDxfId="451" dataCellStyle="Normal 2"/>
    <tableColumn id="17" xr3:uid="{6CE62C52-6FFC-4B7C-9567-5568B9318BDB}" name="Mar-23" dataDxfId="450" dataCellStyle="Normal 2"/>
    <tableColumn id="18" xr3:uid="{BDCCA8DA-A96B-4629-9C51-69CBFE2902DC}" name="Apr-23" dataDxfId="449" dataCellStyle="Normal 2"/>
    <tableColumn id="19" xr3:uid="{EF8584BB-E60C-4CD9-BD70-C6DD6F362929}" name="May-23" dataDxfId="448" dataCellStyle="Normal 2"/>
    <tableColumn id="20" xr3:uid="{510BBBF8-CEC8-47CB-982A-DEBB362A6095}" name="Jun-23" dataDxfId="447" dataCellStyle="Normal 2"/>
    <tableColumn id="21" xr3:uid="{6745A1F4-C2B2-472F-A7C2-B4C3B79DEA1E}" name="Jul-23" dataDxfId="446" dataCellStyle="Normal 2"/>
    <tableColumn id="22" xr3:uid="{F22939B5-8155-44C8-8387-8B8C8556843C}" name="Aug-23" dataDxfId="445" dataCellStyle="Normal 2"/>
    <tableColumn id="23" xr3:uid="{044C7613-01AF-4263-9A14-5765B0CDB582}" name="Sep-23" dataDxfId="444" dataCellStyle="Normal 2"/>
    <tableColumn id="24" xr3:uid="{7F4FEC9D-B8DE-4973-8F60-888F3CFF343F}" name="Notes" dataDxfId="443" dataCellStyle="Normal 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EF19EC2-E234-45EA-BAF1-8C4B76206AAE}" name="tblDefensePreparedness" displayName="tblDefensePreparedness" ref="C18:H28" totalsRowShown="0">
  <autoFilter ref="C18:H28" xr:uid="{CEF19EC2-E234-45EA-BAF1-8C4B76206AAE}"/>
  <sortState xmlns:xlrd2="http://schemas.microsoft.com/office/spreadsheetml/2017/richdata2" ref="C19:H28">
    <sortCondition descending="1" ref="D18:D28"/>
  </sortState>
  <tableColumns count="6">
    <tableColumn id="1" xr3:uid="{8C2AC5BD-4EC4-444B-B5C0-F23FD75F18CF}" name="Threat Cluster">
      <calculatedColumnFormula>HIT!B6</calculatedColumnFormula>
    </tableColumn>
    <tableColumn id="10" xr3:uid="{7F41ED2D-CCF0-4F81-83E8-5AC6A7F627B2}" name="Attack Percentage" dataCellStyle="Percent">
      <calculatedColumnFormula>VLOOKUP(tblDefensePreparedness[[#This Row],[Threat Cluster]],tblHIT[],3,FALSE)</calculatedColumnFormula>
    </tableColumn>
    <tableColumn id="3" xr3:uid="{D9BFCD41-62D2-489A-A7EF-D6051E6B7105}" name="Attack Prevalence" dataDxfId="139">
      <calculatedColumnFormula array="1">IFERROR(ROUNDDOWN(AVERAGEIF(Threat_Cluster,tblDefensePreparedness[[#This Row],[Threat Cluster]],HIT_Quintile),0),"N/A")</calculatedColumnFormula>
    </tableColumn>
    <tableColumn id="6" xr3:uid="{86C14C24-95BD-401E-9BDC-EC2D6A7431B1}" name="Control Maturity" dataDxfId="138">
      <calculatedColumnFormula>IFERROR(AVERAGEIF(tblRisk[Current Threat Cluster],tblDefensePreparedness[[#This Row],[Threat Cluster]],tblRisk[Current Maturity]),"N/A")</calculatedColumnFormula>
    </tableColumn>
    <tableColumn id="2" xr3:uid="{C7ADB4CC-DFE6-49D9-BDAD-55D041ECE44B}" name="Control Risk (MAX)" dataDxfId="137">
      <calculatedColumnFormula>IFERROR(IF(_xlfn.MAXIFS(tblRisk[Current Level of Risk],tblRisk[Current Threat Cluster],tblDefensePreparedness[[#This Row],[Threat Cluster]])&gt;0,_xlfn.MAXIFS(tblRisk[Current Level of Risk],tblRisk[Current Threat Cluster],tblDefensePreparedness[[#This Row],[Threat Cluster]]),30),"N/A")</calculatedColumnFormula>
    </tableColumn>
    <tableColumn id="4" xr3:uid="{E05CA2AA-2D5B-4DDC-B360-1DADE4BD82CF}" name="Display Risk Level" dataDxfId="136">
      <calculatedColumnFormula>tblDefensePreparedness[[#This Row],[Control Risk (MAX)]]-1</calculatedColumnFormula>
    </tableColumn>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E1F145D7-DED3-4E8B-A346-D95D5EE7F369}" name="Table19" displayName="Table19" ref="C36:E47" totalsRowShown="0">
  <autoFilter ref="C36:E47" xr:uid="{E1F145D7-DED3-4E8B-A346-D95D5EE7F369}"/>
  <tableColumns count="3">
    <tableColumn id="1" xr3:uid="{89D99C69-EEA3-4024-B6BF-208147849DB5}" name="Risk Treatment Program" dataDxfId="135">
      <calculatedColumnFormula>VLOOKUP(D34,Risk_Treatment_Program,5,FALSE)</calculatedColumnFormula>
    </tableColumn>
    <tableColumn id="2" xr3:uid="{084602DE-119F-454B-A19A-06F363125F40}" name="Due Date"/>
    <tableColumn id="3" xr3:uid="{F5EF558E-4E9E-447A-B173-1B5C1FA7B1F6}" name="Status"/>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2C29EA-F58F-4636-9EBD-1A7473ED70C2}" name="tblKRIBounds" displayName="tblKRIBounds" ref="C53:F54" totalsRowShown="0" headerRowDxfId="134" headerRowBorderDxfId="133" tableBorderDxfId="132" totalsRowBorderDxfId="131">
  <autoFilter ref="C53:F54" xr:uid="{522C29EA-F58F-4636-9EBD-1A7473ED70C2}"/>
  <tableColumns count="4">
    <tableColumn id="1" xr3:uid="{FEA837D7-A13D-4825-9DB5-B8C3DF479DE1}" name="Indicator Width" dataDxfId="130"/>
    <tableColumn id="2" xr3:uid="{86867695-BB24-47A4-A7BD-1707CF7C038A}" name="Acceptable Level of Risk" dataDxfId="129">
      <calculatedColumnFormula>valALR</calculatedColumnFormula>
    </tableColumn>
    <tableColumn id="3" xr3:uid="{5885E6D0-8E46-4F71-B2A9-A481DA0CB1FE}" name="High Risk Bar" dataDxfId="128">
      <calculatedColumnFormula>valCLR-valALR</calculatedColumnFormula>
    </tableColumn>
    <tableColumn id="4" xr3:uid="{B198E5B0-0469-426E-95B0-D41941D7FD9B}" name="Critical Risk Bar" dataDxfId="127">
      <calculatedColumnFormula>25-tblKRIBounds[[#This Row],[High Risk Bar]]-tblKRIBounds[[#This Row],[Acceptable Level of Risk]]</calculatedColumnFormula>
    </tableColumn>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tblSOA" displayName="tblSOA" ref="A1:I143" totalsRowShown="0" headerRowDxfId="126" dataDxfId="125">
  <autoFilter ref="A1:I143" xr:uid="{00000000-0009-0000-0100-000009000000}"/>
  <tableColumns count="9">
    <tableColumn id="1" xr3:uid="{00000000-0010-0000-0600-000001000000}" name="Control ID" dataDxfId="124"/>
    <tableColumn id="3" xr3:uid="{00000000-0010-0000-0600-000003000000}" name="Control Name" dataDxfId="123"/>
    <tableColumn id="2" xr3:uid="{00000000-0010-0000-0600-000002000000}" name="Control Description" dataDxfId="122"/>
    <tableColumn id="4" xr3:uid="{00000000-0010-0000-0600-000004000000}" name="Is this Control Applicable to the ISMS Scope?" dataDxfId="121"/>
    <tableColumn id="6" xr3:uid="{00000000-0010-0000-0600-000006000000}" name="Reason for Applicability" dataDxfId="120"/>
    <tableColumn id="5" xr3:uid="{00000000-0010-0000-0600-000005000000}" name="Reason for Non-Applicability" dataDxfId="119"/>
    <tableColumn id="7" xr3:uid="{00000000-0010-0000-0600-000007000000}" name="Is this control implemented?" dataDxfId="118"/>
    <tableColumn id="8" xr3:uid="{00000000-0010-0000-0600-000008000000}" name="Date of Last Review" dataDxfId="117"/>
    <tableColumn id="10" xr3:uid="{00000000-0010-0000-0600-00000A000000}" name="Policy Reference" dataDxfId="11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blCSP" displayName="tblCSP" ref="A3:B32" totalsRowShown="0">
  <autoFilter ref="A3:B32" xr:uid="{00000000-0009-0000-0100-000003000000}"/>
  <tableColumns count="2">
    <tableColumn id="1" xr3:uid="{00000000-0010-0000-0C00-000001000000}" name="Common Security Programs"/>
    <tableColumn id="2" xr3:uid="{1C4AB6AD-5A81-44D3-BA12-2841F81B31D3}" name="ID" dataDxfId="115"/>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D000000}" name="tblCSC" displayName="tblCSC" ref="D3:D7" totalsRowShown="0">
  <autoFilter ref="D3:D7" xr:uid="{00000000-0009-0000-0100-000005000000}"/>
  <tableColumns count="1">
    <tableColumn id="1" xr3:uid="{00000000-0010-0000-0D00-000001000000}" name="Common Security Control"/>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E000000}" name="tblSafeguardStatus" displayName="tblSafeguardStatus" ref="F3:F7" totalsRowShown="0">
  <autoFilter ref="F3:F7" xr:uid="{00000000-0009-0000-0100-000008000000}"/>
  <tableColumns count="1">
    <tableColumn id="1" xr3:uid="{00000000-0010-0000-0E00-000001000000}" name="Safeguard Status"/>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0000000}" name="tblStandards" displayName="tblStandards" ref="L3:L15" totalsRowShown="0">
  <autoFilter ref="L3:L15" xr:uid="{00000000-0009-0000-0100-00000D000000}"/>
  <sortState xmlns:xlrd2="http://schemas.microsoft.com/office/spreadsheetml/2017/richdata2" ref="L4:L14">
    <sortCondition ref="L4:L14"/>
  </sortState>
  <tableColumns count="1">
    <tableColumn id="1" xr3:uid="{00000000-0010-0000-1000-000001000000}" name="Standards"/>
  </tableColumns>
  <tableStyleInfo name="TableStyleMedium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1000000}" name="tblMaturity" displayName="tblMaturity" ref="H11:J16" totalsRowShown="0">
  <autoFilter ref="H11:J16" xr:uid="{00000000-0009-0000-0100-00000E000000}"/>
  <tableColumns count="3">
    <tableColumn id="1" xr3:uid="{00000000-0010-0000-1100-000001000000}" name="Maturity" dataDxfId="114"/>
    <tableColumn id="2" xr3:uid="{00000000-0010-0000-1100-000002000000}" name="Value"/>
    <tableColumn id="3" xr3:uid="{00000000-0010-0000-1100-000003000000}" name="Maturiy Disp" dataDxfId="113">
      <calculatedColumnFormula>tblMaturity[[#This Row],[Value]]&amp;" - "&amp;tblMaturity[[#This Row],[Maturity]]</calculatedColumnFormula>
    </tableColumn>
  </tableColumns>
  <tableStyleInfo name="TableStyleMedium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F000000}" name="tblLikelihood" displayName="tblLikelihood" ref="H3:J8" totalsRowShown="0">
  <autoFilter ref="H3:J8" xr:uid="{00000000-0009-0000-0100-00000A000000}"/>
  <tableColumns count="3">
    <tableColumn id="1" xr3:uid="{00000000-0010-0000-0F00-000001000000}" name="Likelihood"/>
    <tableColumn id="2" xr3:uid="{00000000-0010-0000-0F00-000002000000}" name="Value"/>
    <tableColumn id="3" xr3:uid="{00000000-0010-0000-0F00-000003000000}" name="Likelihood Disp" dataDxfId="112">
      <calculatedColumnFormula>tblLikelihood[[#This Row],[Value]]&amp;" - "&amp;tblLikelihood[[#This Row],[Likelihood]]</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blRisk" displayName="tblRisk" ref="A3:BQ157" totalsRowCount="1" headerRowDxfId="383" dataDxfId="382" totalsRowDxfId="381">
  <autoFilter ref="A3:BQ156" xr:uid="{00000000-000C-0000-FFFF-FFFF00000000}"/>
  <tableColumns count="69">
    <tableColumn id="1" xr3:uid="{00000000-0010-0000-0000-000001000000}" name="Risk #" totalsRowLabel="Total" dataDxfId="380" totalsRowDxfId="379"/>
    <tableColumn id="9" xr3:uid="{12311A9D-B4A1-4D14-902A-E11909D415A3}" name="Standard" dataDxfId="378" totalsRowDxfId="377"/>
    <tableColumn id="40" xr3:uid="{FD169EAB-05F0-49DA-9E14-D42FAF37148C}" name="Standard Controls" dataDxfId="376" totalsRowDxfId="375"/>
    <tableColumn id="44" xr3:uid="{AC4521CF-56C7-437A-87E1-42D73BA55B00}" name="Standard Control Description" dataDxfId="374" totalsRowDxfId="373"/>
    <tableColumn id="65" xr3:uid="{011E2C28-3950-49DA-8725-6B4F487A925F}" name="NIST CSF Safeguard Function" dataDxfId="372" totalsRowDxfId="371"/>
    <tableColumn id="51" xr3:uid="{3E3F9D1B-FCE9-487A-8A42-C5F48C733C8A}" name="IG1" dataDxfId="370" totalsRowDxfId="369"/>
    <tableColumn id="53" xr3:uid="{429BDBC0-F4E5-4E3D-819B-56B3796A9CC7}" name="IG2" dataDxfId="368" totalsRowDxfId="367"/>
    <tableColumn id="55" xr3:uid="{371EE686-2439-484D-A83D-5CDD75D871C7}" name="IG3" dataDxfId="366" totalsRowDxfId="365"/>
    <tableColumn id="57" xr3:uid="{ABA1D8AA-7A83-4CF9-88B0-EEDAF9FB1FAA}" name="Defends Against Malware" dataDxfId="364" totalsRowDxfId="363"/>
    <tableColumn id="58" xr3:uid="{BF45B71B-ED65-4335-8D05-3CCCF75A2C1A}" name="Defends Against Ransomware" dataDxfId="362" totalsRowDxfId="361"/>
    <tableColumn id="61" xr3:uid="{EB691A5B-4EA8-4577-90A4-360311738E61}" name="Defends Against Web App Hacking" dataDxfId="360" totalsRowDxfId="359"/>
    <tableColumn id="62" xr3:uid="{C7D274B9-0FE9-46D8-BA8E-7BE5D6BB2CC8}" name="Defends Against Privilege Misuse" dataDxfId="358" totalsRowDxfId="357"/>
    <tableColumn id="63" xr3:uid="{86BE30CC-A3D7-494D-A2E6-229D038C3F19}" name="Defends Against Targeted Intrusions" dataDxfId="356" totalsRowDxfId="355"/>
    <tableColumn id="43" xr3:uid="{86AA293B-BF83-4B8A-8F4D-CBAA82962EAB}" name="Defends against All Attack Types" dataDxfId="354" totalsRowDxfId="353">
      <calculatedColumnFormula>COUNTIF(tblRisk[[#This Row],[Defends Against Malware]:[Defends Against Targeted Intrusions]],"Yes")</calculatedColumnFormula>
    </tableColumn>
    <tableColumn id="2" xr3:uid="{00000000-0010-0000-0000-000002000000}" name="Common Security Program" dataDxfId="352" totalsRowDxfId="351"/>
    <tableColumn id="3" xr3:uid="{00000000-0010-0000-0000-000003000000}" name="Common Security Control" dataDxfId="350" totalsRowDxfId="349"/>
    <tableColumn id="32" xr3:uid="{00000000-0010-0000-0000-000020000000}" name="Threat Cluster" dataDxfId="348" totalsRowDxfId="347"/>
    <tableColumn id="16" xr3:uid="{00000000-0010-0000-0000-000010000000}" name="Asset Designation " dataDxfId="346" totalsRowDxfId="345"/>
    <tableColumn id="39" xr3:uid="{61EE570A-C249-465C-B0DA-80D0CBEC5EE0}" name="NIST CSF (800-171)" dataDxfId="344"/>
    <tableColumn id="8" xr3:uid="{00000000-0010-0000-0000-000008000000}" name="Vulnerability" dataDxfId="343"/>
    <tableColumn id="4" xr3:uid="{00000000-0010-0000-0000-000004000000}" name="Threat" dataDxfId="342"/>
    <tableColumn id="18" xr3:uid="{00000000-0010-0000-0000-000012000000}" name="Observed Control(s)" dataDxfId="341" totalsRowDxfId="340"/>
    <tableColumn id="45" xr3:uid="{531515AB-0202-47F8-AECC-92D163FBFF24}" name="Specific Control Gap" dataDxfId="339" totalsRowDxfId="338"/>
    <tableColumn id="25" xr3:uid="{00000000-0010-0000-0000-000019000000}" name="Associated Risk" dataDxfId="337" totalsRowDxfId="336"/>
    <tableColumn id="56" xr3:uid="{00000000-0010-0000-0000-000038000000}" name="HIT Quintile" dataDxfId="335" totalsRowDxfId="334" dataCellStyle="Comma">
      <calculatedColumnFormula>IF(ISBLANK(tblRisk[[#This Row],[Threat Cluster]]),"",_xlfn.XLOOKUP(tblRisk[[#This Row],[Threat Cluster]],tblHIT[Threat Cluster],tblHIT[Quintile]))</calculatedColumnFormula>
    </tableColumn>
    <tableColumn id="52" xr3:uid="{00000000-0010-0000-0000-000034000000}" name="Control Maturity" totalsRowFunction="average" dataDxfId="333" totalsRowDxfId="332" dataCellStyle="Percent"/>
    <tableColumn id="54" xr3:uid="{00000000-0010-0000-0000-000036000000}" name="Likelihood of Control Failure" dataDxfId="331" totalsRowDxfId="330" dataCellStyle="Percent">
      <calculatedColumnFormula>IF(OR(ISBLANK(tblRisk[[#This Row],[HIT Quintile]]),ISBLANK(tblRisk[[#This Row],[Control Maturity]])),"",_xlfn.XLOOKUP(tblRisk[[#This Row],[Control Maturity]] &amp; tblRisk[[#This Row],[HIT Quintile]],tblHITWDI[Lookup],tblHITWDI[Likelihood Description]))</calculatedColumnFormula>
    </tableColumn>
    <tableColumn id="6" xr3:uid="{00000000-0010-0000-0000-000006000000}" name="Likelihood Score" totalsRowFunction="average" dataDxfId="329" totalsRowDxfId="328">
      <calculatedColumnFormula>IF(ISERROR(tblRisk[[#This Row],[Likelihood of Control Failure]]),"",VLOOKUP(tblRisk[[#This Row],[Likelihood of Control Failure]],tblLikelihood[],2,FALSE))</calculatedColumnFormula>
    </tableColumn>
    <tableColumn id="12" xr3:uid="{00000000-0010-0000-0000-00000C000000}" name="Impact to Mission" totalsRowFunction="average" dataDxfId="327" totalsRowDxfId="326"/>
    <tableColumn id="13" xr3:uid="{00000000-0010-0000-0000-00000D000000}" name="Impact to Objectives" totalsRowFunction="average" dataDxfId="325" totalsRowDxfId="324"/>
    <tableColumn id="14" xr3:uid="{00000000-0010-0000-0000-00000E000000}" name="Impact to Obligations" totalsRowFunction="average" dataDxfId="323" totalsRowDxfId="322"/>
    <tableColumn id="27" xr3:uid="{00000000-0010-0000-0000-00001B000000}" name="Impact Score" totalsRowFunction="average" dataDxfId="321" totalsRowDxfId="320">
      <calculatedColumnFormula>IF(ISBLANK(tblRisk[[#This Row],[Impact to Mission]]),"",MAX(tblRisk[[#This Row],[Impact to Mission]:[Impact to Obligations]]))</calculatedColumnFormula>
    </tableColumn>
    <tableColumn id="15" xr3:uid="{00000000-0010-0000-0000-00000F000000}" name="Risk Score" totalsRowFunction="average" dataDxfId="319" totalsRowDxfId="318">
      <calculatedColumnFormula>IF(ISERROR(tblRisk[[#This Row],[Impact Score]]*tblRisk[[#This Row],[Likelihood Score]]),"",tblRisk[[#This Row],[Likelihood Score]]*tblRisk[[#This Row],[Impact Score]])</calculatedColumnFormula>
    </tableColumn>
    <tableColumn id="24" xr3:uid="{00000000-0010-0000-0000-000018000000}" name="Risk Level" totalsRowFunction="max" dataDxfId="317" totalsRowDxfId="316">
      <calculatedColumnFormula>tblRisk[[#This Row],[Risk Score]]</calculatedColumnFormula>
    </tableColumn>
    <tableColumn id="33" xr3:uid="{00000000-0010-0000-0000-000021000000}" name="Acceptable Level of Risk" dataDxfId="315" totalsRowDxfId="314">
      <calculatedColumnFormula>valALR</calculatedColumnFormula>
    </tableColumn>
    <tableColumn id="30" xr3:uid="{38C28AE2-FAF5-485D-A97E-0B4801DD456C}" name="Current Maturity" totalsRowFunction="average" dataDxfId="313" totalsRowDxfId="312">
      <calculatedColumnFormula>IF(tblRisk[[#This Row],[Safeguard Status]]="In Place",tblRisk[[#This Row],[Control Maturity after SG]],tblRisk[[#This Row],[Control Maturity]])</calculatedColumnFormula>
    </tableColumn>
    <tableColumn id="38" xr3:uid="{C338D5EE-031C-4E28-81F1-19BDDF4CD13F}" name="Current Threat Cluster" dataDxfId="311" totalsRowDxfId="310">
      <calculatedColumnFormula>IF(tblRisk[[#This Row],[Safeguard Status]]="In Place",tblRisk[[#This Row],[Safeguard Threat Cluster]],tblRisk[[#This Row],[Threat Cluster]])</calculatedColumnFormula>
    </tableColumn>
    <tableColumn id="7" xr3:uid="{00000000-0010-0000-0000-000007000000}" name="Current Level of Risk" totalsRowFunction="average" dataDxfId="309" totalsRowDxfId="308">
      <calculatedColumnFormula>IF(tblRisk[[#This Row],[Safeguard Status]]="In Place",tblRisk[[#This Row],[Risk Level With Safeguard in Place]],tblRisk[[#This Row],[Risk Level]])</calculatedColumnFormula>
    </tableColumn>
    <tableColumn id="17" xr3:uid="{00000000-0010-0000-0000-000011000000}" name="Risk Treatment Option" dataDxfId="307" totalsRowDxfId="306"/>
    <tableColumn id="42" xr3:uid="{00000000-0010-0000-0000-00002A000000}" name="Risk Treatment Program" dataDxfId="305" totalsRowDxfId="304">
      <calculatedColumnFormula>IF(tblRisk[[#This Row],[Risk Treatment Option]]="Manage",_xlfn.IFNA(INDEX(tblRiskTreatmentPrograms[#Data],MATCH(tblRisk[[#This Row],[Common Security Program]]&amp;tblRisk[[#This Row],[Common Security Control]],tblRiskTreatmentPrograms[Lookup],0),MATCH($AN$3,tblRiskTreatmentPrograms[#Headers],0)),txtBadRTP),"")</calculatedColumnFormula>
    </tableColumn>
    <tableColumn id="5" xr3:uid="{00000000-0010-0000-0000-000005000000}" name="Risk Treatment Safeguard" dataDxfId="303" totalsRowDxfId="302">
      <calculatedColumnFormula>IF(tblRisk[[#This Row],[Risk Treatment Program]]="","",INDEX(tblRiskTreatmentPrograms[#Data],MATCH(tblRisk[[#This Row],[Risk Treatment Program]],tblRiskTreatmentPrograms[Risk Treatment Program],0),MATCH($AO$3,tblRiskTreatmentPrograms[#Headers],0)))</calculatedColumnFormula>
    </tableColumn>
    <tableColumn id="46" xr3:uid="{C035CEB4-5DD9-42E0-8769-9D686D008F4B}" name="Specific Safeguard Recommendation" dataDxfId="301" totalsRowDxfId="300"/>
    <tableColumn id="10" xr3:uid="{A170C19F-8866-49AC-9D9F-0969895DC36C}" name="Risk Treatment Activity" dataDxfId="299">
      <calculatedColumnFormula>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calculatedColumnFormula>
    </tableColumn>
    <tableColumn id="19" xr3:uid="{5580AE3B-C64F-4D2E-9320-2A0C591F8255}" name="Safeguard Threat Cluster" dataDxfId="298" totalsRowDxfId="297">
      <calculatedColumnFormula>tblRisk[[#This Row],[Threat Cluster]]</calculatedColumnFormula>
    </tableColumn>
    <tableColumn id="26" xr3:uid="{04F49F2D-CEE4-44BC-8BA3-AD071361F598}" name="Safeguard HIT Quintile" dataDxfId="296" totalsRowDxfId="295" dataCellStyle="Percent">
      <calculatedColumnFormula>IF(ISBLANK(tblRisk[[#This Row],[Safeguard Threat Cluster]]),"",_xlfn.XLOOKUP(tblRisk[[#This Row],[Safeguard Threat Cluster]],tblHIT[Threat Cluster],tblHIT[Quintile]))</calculatedColumnFormula>
    </tableColumn>
    <tableColumn id="60" xr3:uid="{00000000-0010-0000-0000-00003C000000}" name="Control Maturity after SG" totalsRowFunction="average" dataDxfId="294" totalsRowDxfId="293" dataCellStyle="Percent">
      <calculatedColumnFormula>_xlfn.SWITCH(tblRisk[[#This Row],[Risk Treatment Option]],"Manage",tblRisk[[#This Row],[Control Maturity]]+1,tblRisk[[#This Row],[Control Maturity]])</calculatedColumnFormula>
    </tableColumn>
    <tableColumn id="59" xr3:uid="{00000000-0010-0000-0000-00003B000000}" name="Likelihood of Control Failure after SG" dataDxfId="292" totalsRowDxfId="291" dataCellStyle="Percent">
      <calculatedColumnFormula>IF(OR(ISBLANK(tblRisk[[#This Row],[Safeguard HIT Quintile]]),ISBLANK(tblRisk[[#This Row],[Control Maturity after SG]])),"",_xlfn.XLOOKUP(tblRisk[[#This Row],[Control Maturity after SG]] &amp;tblRisk[[#This Row],[Safeguard HIT Quintile]],tblHITWDI[Lookup],tblHITWDI[Likelihood Description]))</calculatedColumnFormula>
    </tableColumn>
    <tableColumn id="28" xr3:uid="{00000000-0010-0000-0000-00001C000000}" name="Likelihood Score with Safeguard in Place" totalsRowFunction="average" dataDxfId="290" totalsRowDxfId="289">
      <calculatedColumnFormula>IF(ISERROR(tblRisk[[#This Row],[Likelihood of Control Failure after SG]]),"",VLOOKUP(tblRisk[[#This Row],[Likelihood of Control Failure after SG]],tblLikelihood[#Data],2,FALSE))</calculatedColumnFormula>
    </tableColumn>
    <tableColumn id="20" xr3:uid="{00000000-0010-0000-0000-000014000000}" name="Impact to Mission With Safeguard in Place" totalsRowFunction="average" dataDxfId="288" totalsRowDxfId="287" dataCellStyle="Percent">
      <calculatedColumnFormula>tblRisk[[#This Row],[Impact to Mission]]</calculatedColumnFormula>
    </tableColumn>
    <tableColumn id="21" xr3:uid="{00000000-0010-0000-0000-000015000000}" name="Impact to Objectives With Safeguard in Place" totalsRowFunction="average" dataDxfId="286" totalsRowDxfId="285" dataCellStyle="Percent">
      <calculatedColumnFormula>tblRisk[[#This Row],[Impact to Objectives]]</calculatedColumnFormula>
    </tableColumn>
    <tableColumn id="22" xr3:uid="{00000000-0010-0000-0000-000016000000}" name="Impact to Obligations With Safeguard in Place" totalsRowFunction="average" dataDxfId="284" totalsRowDxfId="283" dataCellStyle="Percent">
      <calculatedColumnFormula>tblRisk[[#This Row],[Impact to Obligations]]</calculatedColumnFormula>
    </tableColumn>
    <tableColumn id="29" xr3:uid="{00000000-0010-0000-0000-00001D000000}" name="Impact Score with Safeguard in Place" totalsRowFunction="average" dataDxfId="282" totalsRowDxfId="281">
      <calculatedColumnFormula>IF(ISBLANK(tblRisk[[#This Row],[Impact to Mission With Safeguard in Place]]),"",MAX(tblRisk[[#This Row],[Impact to Mission With Safeguard in Place]:[Impact to Obligations With Safeguard in Place]]))</calculatedColumnFormula>
    </tableColumn>
    <tableColumn id="34" xr3:uid="{00000000-0010-0000-0000-000022000000}" name="Risk Score With Safeguard in Place" totalsRowFunction="average" dataDxfId="280" totalsRowDxfId="279">
      <calculatedColumnFormula>IF(ISERROR(tblRisk[[#This Row],[Impact Score with Safeguard in Place]]*tblRisk[[#This Row],[Likelihood Score with Safeguard in Place]]),"",tblRisk[[#This Row],[Impact Score with Safeguard in Place]]*tblRisk[[#This Row],[Likelihood Score with Safeguard in Place]])</calculatedColumnFormula>
    </tableColumn>
    <tableColumn id="23" xr3:uid="{00000000-0010-0000-0000-000017000000}" name="Risk Level With Safeguard in Place" totalsRowFunction="max" dataDxfId="278" totalsRowDxfId="277">
      <calculatedColumnFormula>tblRisk[[#This Row],[Risk Score With Safeguard in Place]]</calculatedColumnFormula>
    </tableColumn>
    <tableColumn id="35" xr3:uid="{00000000-0010-0000-0000-000023000000}" name="Safeguard Status" dataDxfId="276" totalsRowDxfId="275">
      <calculatedColumnFormula>IF(tblRisk[[#This Row],[Risk Treatment Option]]&lt;&gt;"Accept",IF(_xlfn.XLOOKUP(tblRisk[[#This Row],[Specific Safeguard Recommendation]],ProTrak[Task],ProTrak[Status],"Not Found")="Completed","Pending Validation","Pending"),"")</calculatedColumnFormula>
    </tableColumn>
    <tableColumn id="31" xr3:uid="{82F4CBC9-1EDF-42A8-A5CB-6E2DBF8D8430}" name="Due Date" dataDxfId="274" totalsRowDxfId="273">
      <calculatedColumnFormula>_xlfn.XLOOKUP(tblRisk[[#This Row],[Risk Treatment Program]],tblRiskTreatmentPrograms[Risk Treatment Program],tblRiskTreatmentPrograms[Estimated End Date (MM/DD/YYYY)],"")</calculatedColumnFormula>
    </tableColumn>
    <tableColumn id="11" xr3:uid="{00000000-0010-0000-0000-00000B000000}" name="Comments" totalsRowFunction="count" dataDxfId="272" totalsRowDxfId="271"/>
    <tableColumn id="36" xr3:uid="{5DA14698-769E-4351-8D96-58AAFD98A81B}" name="Scenario Builder Status" totalsRowFunction="average" dataDxfId="270" totalsRowDxfId="269">
      <calculatedColumnFormula>_xlfn.IFNA(IF(tblRisk[[#This Row],[Due Date]]&lt;=vWhatIfQuarter,"Closed",""),"")</calculatedColumnFormula>
    </tableColumn>
    <tableColumn id="37" xr3:uid="{4855C835-B7DC-40F7-A6AF-CFAFFBDCA5C8}" name="Scenario Builder Current Risk" totalsRowFunction="average" dataDxfId="268" totalsRowDxfId="267">
      <calculatedColumnFormula>IF(tblRisk[[#This Row],[Scenario Builder Status]]="Closed",tblRisk[[#This Row],[Risk Score With Safeguard in Place]],tblRisk[[#This Row],[Risk Score]])</calculatedColumnFormula>
    </tableColumn>
    <tableColumn id="41" xr3:uid="{9AF67105-5DAC-4EB2-9C19-9DF5B41F3334}" name="Lookup" dataDxfId="266" totalsRowDxfId="265">
      <calculatedColumnFormula>tblRisk[[#This Row],[Common Security Program]]&amp;tblRisk[[#This Row],[Common Security Control]]&amp;tblRisk[[#This Row],[Asset Designation ]]</calculatedColumnFormula>
    </tableColumn>
    <tableColumn id="66" xr3:uid="{4F10D79A-6ADA-4DDA-B062-ECCA37286B3D}" name="Initial Recon" dataDxfId="264" totalsRowDxfId="263"/>
    <tableColumn id="67" xr3:uid="{AEF641C5-8477-41A7-AFE8-9ACA0F43F9E4}" name="Acquire / Develop Tools" dataDxfId="262" totalsRowDxfId="261"/>
    <tableColumn id="68" xr3:uid="{65B5ED87-89F0-4B1B-AB54-F881248EC417}" name="Delivery" dataDxfId="260" totalsRowDxfId="259"/>
    <tableColumn id="69" xr3:uid="{9D005457-3C48-45E6-A84E-1F270652BE57}" name="Initial Compromise" dataDxfId="258" totalsRowDxfId="257"/>
    <tableColumn id="70" xr3:uid="{8EF73859-BD4C-4BD7-AE40-B47305BD8B53}" name="Misuse /Escalate Privilege" dataDxfId="256" totalsRowDxfId="255"/>
    <tableColumn id="71" xr3:uid="{83D37EB0-0F20-4C3B-9776-8750D4590613}" name="Internal Recon" dataDxfId="254" totalsRowDxfId="253"/>
    <tableColumn id="72" xr3:uid="{39F008E2-0529-4560-AB98-732C684BB883}" name="Lateral Movement" dataDxfId="252" totalsRowDxfId="251"/>
    <tableColumn id="73" xr3:uid="{2327B484-96C4-4E69-99D1-B788273DC017}" name="Establish Persistence" dataDxfId="250" totalsRowDxfId="249"/>
    <tableColumn id="74" xr3:uid="{164E46D9-7428-4E13-A288-C0D019A341F6}" name="Execute Mission Objectives" dataDxfId="248" totalsRowDxfId="247"/>
  </tableColumns>
  <tableStyleInfo name="TableStyleLight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8C61AEB-1E2F-431E-9A3D-689D21E0163B}" name="tblDates" displayName="tblDates" ref="N3:N20" totalsRowShown="0">
  <autoFilter ref="N3:N20" xr:uid="{C8C61AEB-1E2F-431E-9A3D-689D21E0163B}"/>
  <tableColumns count="1">
    <tableColumn id="1" xr3:uid="{26A41746-4735-4E30-B604-0A7936649051}" name="Dates" dataDxfId="111"/>
  </tableColumns>
  <tableStyleInfo name="TableStyleMedium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CC18B0D-AC5A-42FD-AC4B-9D0ADE89CFBB}" name="Table20" displayName="Table20" ref="F11:F15" totalsRowShown="0" headerRowDxfId="110" headerRowBorderDxfId="109">
  <autoFilter ref="F11:F15" xr:uid="{ACC18B0D-AC5A-42FD-AC4B-9D0ADE89CFBB}"/>
  <tableColumns count="1">
    <tableColumn id="1" xr3:uid="{A6C0D91C-0D2B-4408-A174-3380386942AC}" name="Responsible Party"/>
  </tableColumns>
  <tableStyleInfo name="TableStyleMedium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4202647-602E-46A8-B4AF-D416B1E91972}" name="Table22" displayName="Table22" ref="F18:F22" totalsRowShown="0" headerRowDxfId="108" headerRowBorderDxfId="107">
  <autoFilter ref="F18:F22" xr:uid="{44202647-602E-46A8-B4AF-D416B1E91972}"/>
  <tableColumns count="1">
    <tableColumn id="1" xr3:uid="{5D6C026B-42B4-4D7E-AFD6-3D3F4186D7C8}" name="Feasibility"/>
  </tableColumns>
  <tableStyleInfo name="TableStyleLight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2596C6E-4139-49B0-9DC8-6FCA65A75A97}" name="Table178" displayName="Table178" ref="D21:D33" totalsRowShown="0" headerRowDxfId="106">
  <autoFilter ref="D21:D33" xr:uid="{C2596C6E-4139-49B0-9DC8-6FCA65A75A97}"/>
  <tableColumns count="1">
    <tableColumn id="1" xr3:uid="{6D510F23-4A80-4DB6-9C87-9949D027A8AF}" name="Industry"/>
  </tableColumns>
  <tableStyleInfo name="TableStyleMedium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5106E48-ED56-4417-9CA0-D5B088F1BA9E}" name="tblCSP1641" displayName="tblCSP1641" ref="D35:D49" totalsRowShown="0">
  <autoFilter ref="D35:D49" xr:uid="{45106E48-ED56-4417-9CA0-D5B088F1BA9E}"/>
  <tableColumns count="1">
    <tableColumn id="1" xr3:uid="{CA707582-09E6-4161-8E09-6E7FF9966BB9}" name="Efforts"/>
  </tableColumns>
  <tableStyleInfo name="TableStyleMedium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511450C-8F52-474D-B08C-906259900000}" name="tblCSC20" displayName="tblCSC20" ref="F24:F43" totalsRowShown="0" dataDxfId="104" headerRowBorderDxfId="105" tableBorderDxfId="103">
  <autoFilter ref="F24:F43" xr:uid="{9511450C-8F52-474D-B08C-906259900000}"/>
  <tableColumns count="1">
    <tableColumn id="1" xr3:uid="{1B2BE1CE-587B-44D9-B337-0FE5CFEA75FC}" name="Asset Classes" dataDxfId="102"/>
  </tableColumns>
  <tableStyleInfo name="TableStyleMedium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E4655E-73D2-4091-8152-A50F7A886B16}" name="tblCSP1619" displayName="tblCSP1619" ref="H18:H31" totalsRowShown="0">
  <autoFilter ref="H18:H31" xr:uid="{00E4655E-73D2-4091-8152-A50F7A886B16}"/>
  <tableColumns count="1">
    <tableColumn id="1" xr3:uid="{C170D2D8-6CB2-4630-A4A2-1F7E291624AE}" name="Projects"/>
  </tableColumns>
  <tableStyleInfo name="TableStyleMedium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5222EAA-0DF5-4464-8892-6A90AE77D915}" name="Table131" displayName="Table131" ref="J18:J30" totalsRowShown="0" headerRowDxfId="101">
  <autoFilter ref="J18:J30" xr:uid="{65222EAA-0DF5-4464-8892-6A90AE77D915}"/>
  <tableColumns count="1">
    <tableColumn id="1" xr3:uid="{72FFF15A-944A-4E28-A826-0FE1015DC134}" name="Category"/>
  </tableColumns>
  <tableStyleInfo name="TableStyleMedium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8727A4CE-8F71-4F9A-BAE9-0170E1B38068}" name="Table51113" displayName="Table51113" ref="H33:H39" totalsRowShown="0" dataDxfId="99" headerRowBorderDxfId="100" tableBorderDxfId="98" totalsRowBorderDxfId="97">
  <autoFilter ref="H33:H39" xr:uid="{8727A4CE-8F71-4F9A-BAE9-0170E1B38068}"/>
  <tableColumns count="1">
    <tableColumn id="1" xr3:uid="{16D9A98A-7C44-4871-92D4-411101DAB0BE}" name="Organization Structure" dataDxfId="96"/>
  </tableColumns>
  <tableStyleInfo name="TableStyleMedium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B1B8EE6-1849-4CBD-A87A-A3B1039EE27E}" name="Table511" displayName="Table511" ref="J33:J39" totalsRowShown="0" dataDxfId="94" headerRowBorderDxfId="95" tableBorderDxfId="93" totalsRowBorderDxfId="92">
  <autoFilter ref="J33:J39" xr:uid="{0B1B8EE6-1849-4CBD-A87A-A3B1039EE27E}"/>
  <tableColumns count="1">
    <tableColumn id="1" xr3:uid="{4D1F98FA-AE2B-4133-820E-51B3EE80EE38}" name="Policy Library" dataDxfId="91"/>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E7F39F8-B066-4B91-966E-7140FBE0793A}" name="tblRiskTreatmentPrograms25" displayName="tblRiskTreatmentPrograms25" ref="A2:AC26" totalsRowShown="0" headerRowDxfId="246" dataDxfId="245">
  <autoFilter ref="A2:AC26" xr:uid="{3018CDCC-63D2-479D-A54D-5376543A0E46}"/>
  <sortState xmlns:xlrd2="http://schemas.microsoft.com/office/spreadsheetml/2017/richdata2" ref="A3:AC26">
    <sortCondition descending="1" ref="S2:S26"/>
  </sortState>
  <tableColumns count="29">
    <tableColumn id="6" xr3:uid="{F9C17B02-DB23-4BAE-8A9E-D716AEBDB16C}" name="CSP #" dataDxfId="244"/>
    <tableColumn id="1" xr3:uid="{4ABF1273-49BA-49A5-A619-1B86DA8441C6}" name="Common Security Program" dataDxfId="243"/>
    <tableColumn id="14" xr3:uid="{F740EC13-838E-4D77-B857-B61FDDA6F920}" name="Risk Treatment Program (Delete)" dataDxfId="242"/>
    <tableColumn id="27" xr3:uid="{00A9A081-160E-4C3D-8A82-950279E0AD89}" name="In addition, HALOCK recommends the following safeguards:" dataDxfId="241">
      <calculatedColumnFormula array="1">SUBSTITUTE(_xlfn.TEXTJOIN(CHAR(10),TRUE,IF(('Risk Register'!O:O=tblRiskTreatmentPrograms25[[#This Row],[Common Security Program]])*('Risk Register'!AM:AM="Manage"),'Risk Register'!AP:AP,"")),"" &amp; CHAR(10) &amp; "","" &amp; CHAR(10) &amp; "* ")</calculatedColumnFormula>
    </tableColumn>
    <tableColumn id="2" xr3:uid="{63D7EFEB-72A8-48B9-8EFB-9E922D99F107}" name="Risk Treatment Plan" dataDxfId="240">
      <calculatedColumnFormula>_xlfn.TEXTJOIN(CHAR(10),TRUE,tblRiskTreatmentPrograms25[[#This Row],[Risk Treatment Program (Delete)]],$D$2,"* "&amp;tblRiskTreatmentPrograms25[[#This Row],[In addition, HALOCK recommends the following safeguards:]])</calculatedColumnFormula>
    </tableColumn>
    <tableColumn id="28" xr3:uid="{EA00DB60-9F42-4A3A-A71F-913E831DB1A8}" name="Risk Treatment Activity" dataDxfId="239">
      <calculatedColumnFormula array="1">_xlfn.TEXTJOIN(CHAR(10),TRUE,IF((ProTrak[Common Security Program]=tblRiskTreatmentPrograms25[[#This Row],[Common Security Program]])*(ProTrak[Status]="Completed"),ProTrak[Task],""))</calculatedColumnFormula>
    </tableColumn>
    <tableColumn id="9" xr3:uid="{AA8FD682-602B-413B-93A5-7E9B399164C6}" name="Count" dataDxfId="238">
      <calculatedColumnFormula>COUNTIFS('Risk Register'!O:O,tblRiskTreatmentPrograms25[[#This Row],[Common Security Program]],'Risk Register'!AM:AM,"Manage")</calculatedColumnFormula>
    </tableColumn>
    <tableColumn id="23" xr3:uid="{49EC66F3-59AC-45C6-9324-F04ED32273E8}" name="Max" dataDxfId="237">
      <calculatedColumnFormula>_xlfn.MAXIFS('Risk Register'!AG:AG,'Risk Register'!O:O,tblRiskTreatmentPrograms25[[#This Row],[Common Security Program]])</calculatedColumnFormula>
    </tableColumn>
    <tableColumn id="22" xr3:uid="{2C98114E-6AD0-4C19-8A01-F863AB602E6F}" name="Avg" dataDxfId="236">
      <calculatedColumnFormula>AVERAGEIFS('Risk Register'!AG:AG,'Risk Register'!O:O,tblRiskTreatmentPrograms25[[#This Row],[Common Security Program]])</calculatedColumnFormula>
    </tableColumn>
    <tableColumn id="21" xr3:uid="{819A145F-A27D-484D-8F3F-A47C9FB7BD44}" name="Sum" dataDxfId="235">
      <calculatedColumnFormula>SUMIFS('Risk Register'!AG:AG,'Risk Register'!O:O,tblRiskTreatmentPrograms25[[#This Row],[Common Security Program]])</calculatedColumnFormula>
    </tableColumn>
    <tableColumn id="20" xr3:uid="{6A53BE23-FB67-4095-BF30-1A864152A616}" name="Sum Cur" dataDxfId="234">
      <calculatedColumnFormula>SUMIFS('Risk Register'!AL:AL,'Risk Register'!O:O,tblRiskTreatmentPrograms25[[#This Row],[Common Security Program]])</calculatedColumnFormula>
    </tableColumn>
    <tableColumn id="19" xr3:uid="{08941F82-B3E9-4FD1-8602-84CA36011D52}" name="Tgt Max" dataDxfId="233">
      <calculatedColumnFormula>_xlfn.MAXIFS('Risk Register'!BA:BA,'Risk Register'!O:O,tblRiskTreatmentPrograms25[[#This Row],[Common Security Program]])</calculatedColumnFormula>
    </tableColumn>
    <tableColumn id="18" xr3:uid="{30A6247C-B7F6-40E3-9315-AB9E505CB0F4}" name="Tgt Avg" dataDxfId="232">
      <calculatedColumnFormula>AVERAGEIFS('Risk Register'!BA:BA,'Risk Register'!O:O,tblRiskTreatmentPrograms25[[#This Row],[Common Security Program]])</calculatedColumnFormula>
    </tableColumn>
    <tableColumn id="17" xr3:uid="{E026C79D-7179-45A3-83A7-7111ED7DFCAE}" name="Tgt Sum" dataDxfId="231">
      <calculatedColumnFormula>SUMIFS('Risk Register'!BA:BA,'Risk Register'!O:O,tblRiskTreatmentPrograms25[[#This Row],[Common Security Program]])</calculatedColumnFormula>
    </tableColumn>
    <tableColumn id="16" xr3:uid="{BC4647D9-B421-4B08-A49E-5746EB4010C6}" name="Dif Max" dataDxfId="230">
      <calculatedColumnFormula>tblRiskTreatmentPrograms25[[#This Row],[Max]]-tblRiskTreatmentPrograms25[[#This Row],[Tgt Max]]</calculatedColumnFormula>
    </tableColumn>
    <tableColumn id="15" xr3:uid="{5EC89C16-50D0-441D-9592-A5D45D6498FB}" name="Dif Avg" dataDxfId="229">
      <calculatedColumnFormula>tblRiskTreatmentPrograms25[[#This Row],[Avg]]-tblRiskTreatmentPrograms25[[#This Row],[Tgt Avg]]</calculatedColumnFormula>
    </tableColumn>
    <tableColumn id="24" xr3:uid="{651D49AE-95B8-4323-BB04-866AFFEE5065}" name="Dif Sum" dataDxfId="228">
      <calculatedColumnFormula>tblRiskTreatmentPrograms25[[#This Row],[Sum]]-tblRiskTreatmentPrograms25[[#This Row],[Tgt Sum]]</calculatedColumnFormula>
    </tableColumn>
    <tableColumn id="25" xr3:uid="{B3577153-2F96-44A0-A387-326CD4509E64}" name="Risk Red" dataDxfId="227">
      <calculatedColumnFormula>tblRiskTreatmentPrograms25[[#This Row],[Sum]]-tblRiskTreatmentPrograms25[[#This Row],[Sum Cur]]</calculatedColumnFormula>
    </tableColumn>
    <tableColumn id="29" xr3:uid="{D2EF3C3B-1145-4EF1-AEEC-CD5EA59544ED}" name="Risk Update" dataDxfId="226">
      <calculatedColumnFormula>tblRiskTreatmentPrograms25[[#This Row],[Sum Cur]]-tblRiskTreatmentPrograms25[[#This Row],[Tgt Sum]]</calculatedColumnFormula>
    </tableColumn>
    <tableColumn id="26" xr3:uid="{00640AE2-938E-4D22-AADD-DF3D08D674B8}" name="% Comp" dataDxfId="225" dataCellStyle="Percent">
      <calculatedColumnFormula>IF(tblRiskTreatmentPrograms25[[#This Row],[Count]]=0,"",tblRiskTreatmentPrograms25[[#This Row],[Risk Red]]/tblRiskTreatmentPrograms25[[#This Row],[Dif Sum]])</calculatedColumnFormula>
    </tableColumn>
    <tableColumn id="3" xr3:uid="{E7CC9684-B3BA-4BA2-87C2-CE794CC6AEEB}" name="Estimated Start Date" dataDxfId="224"/>
    <tableColumn id="4" xr3:uid="{A6650A7E-60F1-4B68-B3B2-3DA536A3937C}" name="Estimated End Date" dataDxfId="223"/>
    <tableColumn id="35" xr3:uid="{19FBDA8E-359E-4890-9569-28785C4BB721}" name="Obstacles" dataDxfId="222"/>
    <tableColumn id="13" xr3:uid="{24A7E255-C293-455A-A95D-ACC2D5E04036}" name="Needs" dataDxfId="221"/>
    <tableColumn id="10" xr3:uid="{3B8A637E-0CC4-4730-8E54-B10EB4E1E26F}" name="Recommended Solutions" dataDxfId="220"/>
    <tableColumn id="7" xr3:uid="{A827B216-1F76-4F14-93F1-1FE25B69E7C4}" name="Resources" dataDxfId="219"/>
    <tableColumn id="8" xr3:uid="{BB072957-59B2-40D0-9FA2-4A71DB3EE716}" name="Estimated Cost" dataDxfId="218"/>
    <tableColumn id="11" xr3:uid="{4E605B5C-7947-45A2-81C3-004A5A1AB1F2}" name="Estimated Effort" dataDxfId="217"/>
    <tableColumn id="12" xr3:uid="{700BEB23-367A-4E26-A864-F37814232829}" name="Notes" dataDxfId="216"/>
  </tableColumns>
  <tableStyleInfo name="TableStyleMedium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29649B6-C1C9-4E55-83FD-84728D739408}" name="Table5111318" displayName="Table5111318" ref="L17:L23" totalsRowShown="0" dataDxfId="89" headerRowBorderDxfId="90" tableBorderDxfId="88" totalsRowBorderDxfId="87">
  <autoFilter ref="L17:L23" xr:uid="{C29649B6-C1C9-4E55-83FD-84728D739408}"/>
  <tableColumns count="1">
    <tableColumn id="1" xr3:uid="{FB9AAAB2-694B-4D7F-8619-67039AA82120}" name="CSP Type" dataDxfId="86"/>
  </tableColumns>
  <tableStyleInfo name="TableStyleMedium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FD93C99-B599-4AD7-BEC9-1824C777040D}" name="Table38" displayName="Table38" ref="L25:L33" totalsRowShown="0">
  <autoFilter ref="L25:L33" xr:uid="{5FD93C99-B599-4AD7-BEC9-1824C777040D}"/>
  <tableColumns count="1">
    <tableColumn id="1" xr3:uid="{B30AE0B1-2E71-4AC3-AF5B-CB0706490A29}" name="Status"/>
  </tableColumns>
  <tableStyleInfo name="TableStyleMedium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1AA86E2-0942-4963-8BF0-7D00E5254EBA}" name="Table513" displayName="Table513" ref="L35:L41" totalsRowShown="0" dataDxfId="84" headerRowBorderDxfId="85" tableBorderDxfId="83" totalsRowBorderDxfId="82">
  <autoFilter ref="L35:L41" xr:uid="{E1AA86E2-0942-4963-8BF0-7D00E5254EBA}"/>
  <tableColumns count="1">
    <tableColumn id="1" xr3:uid="{88098552-905D-46D7-B900-A6AECF8C96E7}" name="Responsibility" dataDxfId="81"/>
  </tableColumns>
  <tableStyleInfo name="TableStyleMedium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3E918348-0F5D-461F-B925-86E1B5C43408}" name="Table5" displayName="Table5" ref="L43:L49" totalsRowShown="0" dataDxfId="79" headerRowBorderDxfId="80" tableBorderDxfId="78" totalsRowBorderDxfId="77">
  <autoFilter ref="L43:L49" xr:uid="{3E918348-0F5D-461F-B925-86E1B5C43408}"/>
  <tableColumns count="1">
    <tableColumn id="1" xr3:uid="{22B56E57-ECEB-4FD1-AA53-4DD338FB35AF}" name="SICK Responsibility" dataDxfId="76"/>
  </tableColumns>
  <tableStyleInfo name="TableStyleMedium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B5C0429-31F9-4F4B-A5FF-CD888F66096F}" name="Table2" displayName="Table2" ref="N22:N24" totalsRowShown="0">
  <autoFilter ref="N22:N24" xr:uid="{1B5C0429-31F9-4F4B-A5FF-CD888F66096F}"/>
  <tableColumns count="1">
    <tableColumn id="1" xr3:uid="{43AF7F3E-F0C6-464A-8D95-75E355651DD4}" name="Value"/>
  </tableColumns>
  <tableStyleInfo name="TableStyleMedium9"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7F33EC7-70FD-4101-842A-B9C488E3803B}" name="Table11" displayName="Table11" ref="N26:N29" totalsRowShown="0" headerRowBorderDxfId="75" tableBorderDxfId="74" totalsRowBorderDxfId="73">
  <autoFilter ref="N26:N29" xr:uid="{37F33EC7-70FD-4101-842A-B9C488E3803B}"/>
  <tableColumns count="1">
    <tableColumn id="1" xr3:uid="{14A9DFE1-E4DF-4B1E-A68A-6ED25C05E9C5}" name="Year"/>
  </tableColumns>
  <tableStyleInfo name="TableStyleMedium9"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39539A4-D64C-40C4-AB16-EB64D252AA7B}" name="Table1117" displayName="Table1117" ref="N31:N35" totalsRowShown="0" headerRowBorderDxfId="72" tableBorderDxfId="71" totalsRowBorderDxfId="70">
  <autoFilter ref="N31:N35" xr:uid="{E39539A4-D64C-40C4-AB16-EB64D252AA7B}"/>
  <tableColumns count="1">
    <tableColumn id="1" xr3:uid="{26FA2A7B-71F9-47CF-9411-4743226F8E0B}" name="Quarter"/>
  </tableColumns>
  <tableStyleInfo name="TableStyleMedium9"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A37C087-F24B-487F-983E-D42EB0815412}" name="Table23" displayName="Table23" ref="N37:N41" totalsRowShown="0">
  <autoFilter ref="N37:N41" xr:uid="{8A37C087-F24B-487F-983E-D42EB0815412}"/>
  <tableColumns count="1">
    <tableColumn id="1" xr3:uid="{27464497-1FA7-49C9-8D42-D582B623FF15}" name="Reply"/>
  </tableColumns>
  <tableStyleInfo name="TableStyleMedium9"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598F46-861E-485A-B69B-5191F073152F}" name="Table1" displayName="Table1" ref="B3:D44" totalsRowShown="0" headerRowBorderDxfId="69" tableBorderDxfId="68" totalsRowBorderDxfId="67">
  <autoFilter ref="B3:D44" xr:uid="{585CC3B4-F073-43A8-A00D-7B1696BA380A}"/>
  <tableColumns count="3">
    <tableColumn id="1" xr3:uid="{B8D7EA48-7E91-487F-B17D-A82AB3BD713E}" name="HALOCK Service/Product Offering" dataDxfId="66"/>
    <tableColumn id="2" xr3:uid="{8945D091-BABD-4FAA-AAD2-3ED06476F60A}" name="BU" dataDxfId="65"/>
    <tableColumn id="3" xr3:uid="{CF80783D-DB39-474D-9966-4CFDA5B14A69}" name="Definition" dataDxfId="6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tblRiskTreatmentPrograms" displayName="tblRiskTreatmentPrograms" ref="B2:Y51" totalsRowShown="0" headerRowDxfId="215" dataDxfId="214">
  <autoFilter ref="B2:Y51" xr:uid="{00000000-0009-0000-0100-000004000000}"/>
  <tableColumns count="24">
    <tableColumn id="1" xr3:uid="{00000000-0010-0000-0500-000001000000}" name="Common Security Program" dataDxfId="213"/>
    <tableColumn id="6" xr3:uid="{00000000-0010-0000-0500-000006000000}" name="Common Security Control" dataDxfId="212"/>
    <tableColumn id="13" xr3:uid="{44E99EA9-A892-4AFA-9E0F-0D0392207C2F}" name="Asset Designation" dataDxfId="211"/>
    <tableColumn id="16" xr3:uid="{00000000-0010-0000-0500-000010000000}" name="Lookup" dataDxfId="210">
      <calculatedColumnFormula>tblRiskTreatmentPrograms[[#This Row],[Common Security Program]]&amp;tblRiskTreatmentPrograms[[#This Row],[Common Security Control]]&amp;tblRiskTreatmentPrograms[[#This Row],[Asset Designation]]</calculatedColumnFormula>
    </tableColumn>
    <tableColumn id="5" xr3:uid="{00000000-0010-0000-0500-000005000000}" name="Risk Treatment Program" dataDxfId="209"/>
    <tableColumn id="2" xr3:uid="{00000000-0010-0000-0500-000002000000}" name="Risk Treatment Safeguard" dataDxfId="208"/>
    <tableColumn id="12" xr3:uid="{EA58732B-2186-45B2-82B1-C028F3F6671A}" name="Risk Treatment Activity" dataDxfId="207"/>
    <tableColumn id="19" xr3:uid="{00000000-0010-0000-0500-000013000000}" name="Count" dataDxfId="206">
      <calculatedColumnFormula>COUNTIFS(tblRisk[Risk Treatment Program],tblRiskTreatmentPrograms[[#This Row],[Risk Treatment Program]],tblRisk[[Asset Designation ]],tblRiskTreatmentPrograms[[#This Row],[Asset Designation]])</calculatedColumnFormula>
    </tableColumn>
    <tableColumn id="9" xr3:uid="{C5948B2A-2622-457B-AAC7-DDB0CB74DD42}" name="Avg Maturity" dataDxfId="205">
      <calculatedColumnFormula>AVERAGEIFS(tblRisk[Control Maturity],tblRisk[Risk Treatment Program],tblRiskTreatmentPrograms[[#This Row],[Risk Treatment Program]],tblRisk[[Asset Designation ]],tblRiskTreatmentPrograms[[#This Row],[Asset Designation]])</calculatedColumnFormula>
    </tableColumn>
    <tableColumn id="18" xr3:uid="{00000000-0010-0000-0500-000012000000}" name="Max" dataDxfId="204">
      <calculatedColumnFormula>_xlfn.MAXIFS(tblRisk[Risk Score],tblRisk[Risk Treatment Program],tblRiskTreatmentPrograms[[#This Row],[Risk Treatment Program]],tblRisk[[Asset Designation ]],tblRiskTreatmentPrograms[[#This Row],[Asset Designation]])</calculatedColumnFormula>
    </tableColumn>
    <tableColumn id="17" xr3:uid="{00000000-0010-0000-0500-000011000000}" name="Avg" dataDxfId="203">
      <calculatedColumnFormula>AVERAGEIFS(tblRisk[Risk Score],tblRisk[Risk Treatment Program],tblRiskTreatmentPrograms[[#This Row],[Risk Treatment Program]],tblRisk[[Asset Designation ]],tblRiskTreatmentPrograms[[#This Row],[Asset Designation]])</calculatedColumnFormula>
    </tableColumn>
    <tableColumn id="27" xr3:uid="{9A9D3973-11B6-4F9A-B941-ECB22C28A420}" name="Sum" dataDxfId="202">
      <calculatedColumnFormula>SUMIFS(tblRisk[Risk Score],tblRisk[Risk Treatment Program],tblRiskTreatmentPrograms[[#This Row],[Risk Treatment Program]],tblRisk[[Asset Designation ]],tblRiskTreatmentPrograms[[#This Row],[Asset Designation]])</calculatedColumnFormula>
    </tableColumn>
    <tableColumn id="26" xr3:uid="{6E8AD4B0-F691-4755-83CD-68C0181B5A87}" name="Sum Cur" dataDxfId="201">
      <calculatedColumnFormula>SUMIFS(tblRisk[Current Level of Risk],tblRisk[Risk Treatment Program],tblRiskTreatmentPrograms[[#This Row],[Risk Treatment Program]],tblRisk[[Asset Designation ]],tblRiskTreatmentPrograms[[#This Row],[Asset Designation]])</calculatedColumnFormula>
    </tableColumn>
    <tableColumn id="10" xr3:uid="{51995F70-19AE-41D2-A593-DEB869C7A610}" name="Tgt Avg Maturity" dataDxfId="200">
      <calculatedColumnFormula>AVERAGEIFS(tblRisk[Control Maturity after SG],tblRisk[Risk Treatment Program],tblRiskTreatmentPrograms[[#This Row],[Risk Treatment Program]],tblRisk[[Asset Designation ]],tblRiskTreatmentPrograms[[#This Row],[Asset Designation]])</calculatedColumnFormula>
    </tableColumn>
    <tableColumn id="25" xr3:uid="{8818A434-CACC-47AE-B9E3-AD2E9BE7B705}" name="Tgt Max" dataDxfId="199">
      <calculatedColumnFormula>_xlfn.MAXIFS(tblRisk[Risk Score With Safeguard in Place],tblRisk[Risk Treatment Program],tblRiskTreatmentPrograms[[#This Row],[Risk Treatment Program]],tblRisk[[Asset Designation ]],tblRiskTreatmentPrograms[[#This Row],[Asset Designation]])</calculatedColumnFormula>
    </tableColumn>
    <tableColumn id="24" xr3:uid="{AECFBA27-A421-4713-8AA4-F304B5BFC0B6}" name="Tgt Avg" dataDxfId="198">
      <calculatedColumnFormula>AVERAGEIFS(tblRisk[Risk Score With Safeguard in Place],tblRisk[Risk Treatment Program],tblRiskTreatmentPrograms[[#This Row],[Risk Treatment Program]],tblRisk[[Asset Designation ]],tblRiskTreatmentPrograms[[#This Row],[Asset Designation]])</calculatedColumnFormula>
    </tableColumn>
    <tableColumn id="23" xr3:uid="{F68A58D1-5AFA-4FA9-A7A6-0D9BD765F86A}" name="Tgt Sum" dataDxfId="197">
      <calculatedColumnFormula>SUMIFS(tblRisk[Risk Score With Safeguard in Place],tblRisk[Risk Treatment Program],tblRiskTreatmentPrograms[[#This Row],[Risk Treatment Program]],tblRisk[[Asset Designation ]],tblRiskTreatmentPrograms[[#This Row],[Asset Designation]])</calculatedColumnFormula>
    </tableColumn>
    <tableColumn id="11" xr3:uid="{03C2BD4B-716F-4BBB-8B42-6BE4D075B4B8}" name="Dif Maturity" dataDxfId="196">
      <calculatedColumnFormula>tblRiskTreatmentPrograms[[#This Row],[Tgt Avg Maturity]]-tblRiskTreatmentPrograms[[#This Row],[Avg Maturity]]</calculatedColumnFormula>
    </tableColumn>
    <tableColumn id="22" xr3:uid="{F6C3E905-AF6C-455C-88D3-1345E888E45B}" name="Dif Max" dataDxfId="195">
      <calculatedColumnFormula>tblRiskTreatmentPrograms[[#This Row],[Max]]-tblRiskTreatmentPrograms[[#This Row],[Tgt Max]]</calculatedColumnFormula>
    </tableColumn>
    <tableColumn id="21" xr3:uid="{AA6951D9-1A5D-4D75-BDC4-C0D4ADB7A1A5}" name="Dif Avg" dataDxfId="194">
      <calculatedColumnFormula>tblRiskTreatmentPrograms[[#This Row],[Avg]]-tblRiskTreatmentPrograms[[#This Row],[Tgt Avg]]</calculatedColumnFormula>
    </tableColumn>
    <tableColumn id="20" xr3:uid="{7AD1F32A-8526-4B28-A1ED-7636350DB8F6}" name="Dif Sum" dataDxfId="193">
      <calculatedColumnFormula>tblRiskTreatmentPrograms[[#This Row],[Sum]]-tblRiskTreatmentPrograms[[#This Row],[Tgt Sum]]</calculatedColumnFormula>
    </tableColumn>
    <tableColumn id="8" xr3:uid="{B9427137-6FD2-4CB7-B313-5571565BB76E}" name="Status" dataDxfId="192"/>
    <tableColumn id="3" xr3:uid="{00000000-0010-0000-0500-000003000000}" name="Estimated Start Date (MM/DD/YYYY)" dataDxfId="191"/>
    <tableColumn id="4" xr3:uid="{00000000-0010-0000-0500-000004000000}" name="Estimated End Date (MM/DD/YYYY)" dataDxfId="190"/>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6C031C9-7507-4DF7-9F06-3228E9BECCCC}" name="ProTrak" displayName="ProTrak" ref="A32:Z48" totalsRowShown="0" headerRowDxfId="189" dataDxfId="188" tableBorderDxfId="187" headerRowCellStyle="60% - Accent1" dataCellStyle="Normal 2">
  <autoFilter ref="A32:Z48" xr:uid="{525B4F4A-7004-4557-8ED0-B54729C8F7D2}"/>
  <tableColumns count="26">
    <tableColumn id="1" xr3:uid="{04E2B61F-B6C0-4A2D-951E-EB7BA4BC80D4}" name="CIS Control" dataDxfId="186" dataCellStyle="Normal 2"/>
    <tableColumn id="3" xr3:uid="{28B9D012-6684-47E4-AE2E-836FD40367C1}" name="Common Security Program" dataDxfId="185" dataCellStyle="Normal 2"/>
    <tableColumn id="26" xr3:uid="{1239E751-E0D6-41CE-A294-AFBE0C8015DD}" name="Security Solution Suggestions" dataDxfId="184" dataCellStyle="Normal 2"/>
    <tableColumn id="25" xr3:uid="{AE3AC754-F60E-476D-8EC3-6815DAB19BEB}" name="Initial Risk Score" dataDxfId="183" dataCellStyle="Normal 2"/>
    <tableColumn id="4" xr3:uid="{D1420B74-A9A9-4AE8-A859-6CA480475445}" name="Task" dataDxfId="182" dataCellStyle="Normal 2"/>
    <tableColumn id="2" xr3:uid="{C519D10E-6FF8-49CF-8273-D2A07AD152E7}" name="Safeguard Risk Score" dataDxfId="181" dataCellStyle="Normal 2"/>
    <tableColumn id="5" xr3:uid="{5AF41D2C-EC1E-4E7D-A293-A022CC063AEC}" name="Feasibility" dataDxfId="180" dataCellStyle="Normal 2"/>
    <tableColumn id="6" xr3:uid="{E9D32674-906D-4EDE-BC4F-683F2619FD04}" name="Responsibility" dataDxfId="179" dataCellStyle="Normal 2"/>
    <tableColumn id="7" xr3:uid="{0134EAA0-3495-4CCD-9B56-2EF6CAE2E721}" name="Resources" dataDxfId="178" dataCellStyle="Normal 2"/>
    <tableColumn id="8" xr3:uid="{1DDEC96A-FB4A-4932-AF32-DCC11EA89FD6}" name="Status" dataDxfId="177" dataCellStyle="Normal 2"/>
    <tableColumn id="9" xr3:uid="{455178D7-09FB-4EDF-839D-4D3E84EF80BB}" name="4/1/2024" dataDxfId="176" dataCellStyle="Normal 2"/>
    <tableColumn id="10" xr3:uid="{9A60B6B2-6D50-4F37-9EC7-7C57F8698057}" name="5/1/2024" dataDxfId="175" dataCellStyle="Normal 2"/>
    <tableColumn id="11" xr3:uid="{CB817F6C-3707-46BE-9127-FD871AA47B44}" name="6/1/2024" dataDxfId="174" dataCellStyle="Normal 2"/>
    <tableColumn id="12" xr3:uid="{8CB6CF76-17A1-43D4-A274-82E5227CBF19}" name="7/1/2024" dataDxfId="173" dataCellStyle="Normal 2"/>
    <tableColumn id="13" xr3:uid="{E681A9D3-213C-4455-BE7B-94B929959A27}" name="8/1/2024" dataDxfId="172" dataCellStyle="Normal 2"/>
    <tableColumn id="14" xr3:uid="{A48CCB05-F505-4331-9844-99F2338C6BC1}" name="9/1/2024" dataDxfId="171" dataCellStyle="Normal 2"/>
    <tableColumn id="15" xr3:uid="{B2B9451E-59E7-4C07-A74E-6C34C614BE20}" name="10/1/2024" dataDxfId="170" dataCellStyle="Normal 2"/>
    <tableColumn id="16" xr3:uid="{ED40FBEC-F0B3-40C4-BAFC-8AD88EB3DA35}" name="11/1/2024" dataDxfId="169" dataCellStyle="Normal 2"/>
    <tableColumn id="17" xr3:uid="{031FAAA4-C46B-4B32-9EAB-A19DAB2E9033}" name="12/1/2024" dataDxfId="168" dataCellStyle="Normal 2"/>
    <tableColumn id="18" xr3:uid="{B1E00B40-66DF-4B06-9003-A87FD7DA1ABD}" name="1/1/2025" dataDxfId="167" dataCellStyle="Normal 2"/>
    <tableColumn id="19" xr3:uid="{E14D89E3-1201-4C68-B709-EED0F07EA465}" name="2/1/2025" dataDxfId="166" dataCellStyle="Normal 2"/>
    <tableColumn id="20" xr3:uid="{1736B11D-857A-4501-8DC7-58741CD09203}" name="3/1/2025" dataDxfId="165" dataCellStyle="Normal 2"/>
    <tableColumn id="21" xr3:uid="{5BC0C653-6497-4BAC-92FA-FA479E27B495}" name="4/1/2025" dataDxfId="164" dataCellStyle="Normal 2"/>
    <tableColumn id="22" xr3:uid="{A390F444-F666-41AA-A267-9B1B56DE66D3}" name="5/1/2025" dataDxfId="163" dataCellStyle="Normal 2"/>
    <tableColumn id="23" xr3:uid="{4CA76347-470F-4F92-B134-DA40066870D7}" name="6/1/2025" dataDxfId="162" dataCellStyle="Normal 2"/>
    <tableColumn id="24" xr3:uid="{72691C07-4AB4-4C8F-968F-B921EDE2E175}" name="Notes" dataDxfId="161" dataCellStyle="Normal 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1000000}" name="tblCriteriaExampleTier34" displayName="tblCriteriaExampleTier34" ref="B17:E23" totalsRowShown="0" headerRowDxfId="160" dataDxfId="159">
  <autoFilter ref="B17:E23" xr:uid="{00000000-0009-0000-0100-00000F000000}"/>
  <tableColumns count="4">
    <tableColumn id="1" xr3:uid="{00000000-0010-0000-0100-000001000000}" name="Impact Score" dataDxfId="158"/>
    <tableColumn id="2" xr3:uid="{00000000-0010-0000-0100-000002000000}" name="Impact to Our Mission" dataDxfId="157"/>
    <tableColumn id="3" xr3:uid="{00000000-0010-0000-0100-000003000000}" name="Impact to Objectives" dataDxfId="156"/>
    <tableColumn id="4" xr3:uid="{00000000-0010-0000-0100-000004000000}" name="Impact to Obligations" dataDxfId="15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57845B8-DDD8-4882-A5BE-599F74D23C15}" name="tblCriteriaTemplateTier34" displayName="tblCriteriaTemplateTier34" ref="B5:E11" totalsRowShown="0" headerRowDxfId="154" dataDxfId="153">
  <autoFilter ref="B5:E11" xr:uid="{51D715FA-B98C-49D8-8CED-907A947D85EE}"/>
  <tableColumns count="4">
    <tableColumn id="1" xr3:uid="{597CF4C7-64C6-4E19-BD4B-D2C2D3936868}" name="Impact Score" dataDxfId="152"/>
    <tableColumn id="2" xr3:uid="{F78C57E0-DD0D-481B-B405-CF874FB0D01C}" name="Impact to Our Mission" dataDxfId="151"/>
    <tableColumn id="3" xr3:uid="{69B1161D-4968-45EF-B0CA-A31F33EB0AFA}" name="Impact to Objectives" dataDxfId="150"/>
    <tableColumn id="4" xr3:uid="{18ED652E-8BBB-471D-8E3B-9A75A1B7EC87}" name="Impact to Obligations" dataDxfId="14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2000000}" name="tblHITWDI" displayName="tblHITWDI" ref="B6:F31" totalsRowShown="0" headerRowDxfId="148" dataDxfId="147">
  <autoFilter ref="B6:F31" xr:uid="{00000000-0009-0000-0100-000011000000}"/>
  <tableColumns count="5">
    <tableColumn id="1" xr3:uid="{00000000-0010-0000-0200-000001000000}" name="Maturity Value" dataDxfId="146"/>
    <tableColumn id="2" xr3:uid="{00000000-0010-0000-0200-000002000000}" name="HIT Quintile" dataDxfId="145"/>
    <tableColumn id="5" xr3:uid="{00000000-0010-0000-0200-000005000000}" name="Lookup" dataDxfId="144">
      <calculatedColumnFormula>tblHITWDI[[#This Row],[Maturity Value]]&amp;tblHITWDI[[#This Row],[HIT Quintile]]</calculatedColumnFormula>
    </tableColumn>
    <tableColumn id="3" xr3:uid="{00000000-0010-0000-0200-000003000000}" name="Likelihood Score" dataDxfId="143"/>
    <tableColumn id="6" xr3:uid="{F64A086D-7471-497E-B479-6D29BE7CA9DC}" name="Likelihood Description" dataDxfId="142">
      <calculatedColumnFormula>_xlfn.XLOOKUP(tblHITWDI[[#This Row],[Likelihood Score]],tblLikelihood[Value],tblLikelihood[Likelihood])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blHIT" displayName="tblHIT" ref="B5:F15" totalsRowShown="0">
  <autoFilter ref="B5:F15" xr:uid="{00000000-0009-0000-0100-00000B000000}"/>
  <sortState xmlns:xlrd2="http://schemas.microsoft.com/office/spreadsheetml/2017/richdata2" ref="B6:F15">
    <sortCondition descending="1" ref="D5:D15"/>
  </sortState>
  <tableColumns count="5">
    <tableColumn id="1" xr3:uid="{00000000-0010-0000-0700-000001000000}" name="Threat Cluster"/>
    <tableColumn id="2" xr3:uid="{00000000-0010-0000-0700-000002000000}" name="Number of Incidents"/>
    <tableColumn id="3" xr3:uid="{00000000-0010-0000-0700-000003000000}" name="Percentage" dataDxfId="141">
      <calculatedColumnFormula>tblHIT[[#This Row],[Number of Incidents]]/$C$4</calculatedColumnFormula>
    </tableColumn>
    <tableColumn id="5" xr3:uid="{57982716-9A45-48DC-9A08-87F03800AF6C}" name="Quintile" dataDxfId="140" dataCellStyle="Comma">
      <calculatedColumnFormula>ROUNDUP(tblHIT[[#This Row],[Percentage]]*5,0)</calculatedColumnFormula>
    </tableColumn>
    <tableColumn id="4" xr3:uid="{338DFF86-1BFC-498E-B377-AC3AFFEC3C3E}" name="Average Risk" dataCellStyle="Comma">
      <calculatedColumnFormula>AVERAGEIFS(tblRisk[Risk Score],tblRisk[Threat Cluster],tblHIT[[#This Row],[Threat Cluster]])</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E2" dT="2023-01-03T06:24:21.31" personId="{00000000-0000-0000-0000-000000000000}" id="{EE9D0896-B3AB-40B8-8DA6-1372FE04FBED}">
    <text>1. Copy and paste Text Only for Column E. 
2. Review and Clean up text after "In addition, HALOCK recommends…" 
3. Then DELETE columns C and D. 
4. Can DELETE rows that do not have "0%" in Column S or delete "In addition" Line.</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table" Target="../tables/table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8" Type="http://schemas.openxmlformats.org/officeDocument/2006/relationships/table" Target="../tables/table21.xml"/><Relationship Id="rId13" Type="http://schemas.openxmlformats.org/officeDocument/2006/relationships/table" Target="../tables/table26.xml"/><Relationship Id="rId18" Type="http://schemas.openxmlformats.org/officeDocument/2006/relationships/table" Target="../tables/table31.xml"/><Relationship Id="rId3" Type="http://schemas.openxmlformats.org/officeDocument/2006/relationships/table" Target="../tables/table16.xml"/><Relationship Id="rId21" Type="http://schemas.openxmlformats.org/officeDocument/2006/relationships/table" Target="../tables/table34.xml"/><Relationship Id="rId7" Type="http://schemas.openxmlformats.org/officeDocument/2006/relationships/table" Target="../tables/table20.xml"/><Relationship Id="rId12" Type="http://schemas.openxmlformats.org/officeDocument/2006/relationships/table" Target="../tables/table25.xml"/><Relationship Id="rId17" Type="http://schemas.openxmlformats.org/officeDocument/2006/relationships/table" Target="../tables/table30.xml"/><Relationship Id="rId2" Type="http://schemas.openxmlformats.org/officeDocument/2006/relationships/table" Target="../tables/table15.xml"/><Relationship Id="rId16" Type="http://schemas.openxmlformats.org/officeDocument/2006/relationships/table" Target="../tables/table29.xml"/><Relationship Id="rId20" Type="http://schemas.openxmlformats.org/officeDocument/2006/relationships/table" Target="../tables/table33.xml"/><Relationship Id="rId1" Type="http://schemas.openxmlformats.org/officeDocument/2006/relationships/table" Target="../tables/table14.xml"/><Relationship Id="rId6" Type="http://schemas.openxmlformats.org/officeDocument/2006/relationships/table" Target="../tables/table19.xml"/><Relationship Id="rId11" Type="http://schemas.openxmlformats.org/officeDocument/2006/relationships/table" Target="../tables/table24.xml"/><Relationship Id="rId24" Type="http://schemas.openxmlformats.org/officeDocument/2006/relationships/table" Target="../tables/table37.xml"/><Relationship Id="rId5" Type="http://schemas.openxmlformats.org/officeDocument/2006/relationships/table" Target="../tables/table18.xml"/><Relationship Id="rId15" Type="http://schemas.openxmlformats.org/officeDocument/2006/relationships/table" Target="../tables/table28.xml"/><Relationship Id="rId23" Type="http://schemas.openxmlformats.org/officeDocument/2006/relationships/table" Target="../tables/table36.xml"/><Relationship Id="rId10" Type="http://schemas.openxmlformats.org/officeDocument/2006/relationships/table" Target="../tables/table23.xml"/><Relationship Id="rId19" Type="http://schemas.openxmlformats.org/officeDocument/2006/relationships/table" Target="../tables/table32.xml"/><Relationship Id="rId4" Type="http://schemas.openxmlformats.org/officeDocument/2006/relationships/table" Target="../tables/table17.xml"/><Relationship Id="rId9" Type="http://schemas.openxmlformats.org/officeDocument/2006/relationships/table" Target="../tables/table22.xml"/><Relationship Id="rId14" Type="http://schemas.openxmlformats.org/officeDocument/2006/relationships/table" Target="../tables/table27.xml"/><Relationship Id="rId22" Type="http://schemas.openxmlformats.org/officeDocument/2006/relationships/table" Target="../tables/table35.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hyperlink" Target="https://halock.sharepoint.com/:p:/g/gce/Edm7fr-SSpxAgDiHtiU-7s4B9WfuoveGnu1oiCZYt7-cWw?e=QJ4LmE"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A03D6-56E2-46C2-821A-F69D5C37A743}">
  <sheetPr codeName="Sheet2">
    <pageSetUpPr fitToPage="1"/>
  </sheetPr>
  <dimension ref="A2:W19"/>
  <sheetViews>
    <sheetView zoomScale="70" zoomScaleNormal="70" workbookViewId="0">
      <pane xSplit="3" ySplit="9" topLeftCell="D10" activePane="bottomRight" state="frozen"/>
      <selection pane="topRight" activeCell="E1" sqref="E1"/>
      <selection pane="bottomLeft" activeCell="A4" sqref="A4"/>
      <selection pane="bottomRight" activeCell="C34" sqref="C34"/>
    </sheetView>
  </sheetViews>
  <sheetFormatPr defaultColWidth="9" defaultRowHeight="13.15" x14ac:dyDescent="0.4"/>
  <cols>
    <col min="1" max="1" width="23.1328125" style="82" bestFit="1" customWidth="1"/>
    <col min="2" max="2" width="50.1328125" style="81" customWidth="1"/>
    <col min="3" max="3" width="50.1328125" style="80" customWidth="1"/>
    <col min="4" max="5" width="24" style="79" customWidth="1"/>
    <col min="6" max="6" width="24.86328125" style="79" customWidth="1"/>
    <col min="7" max="7" width="18.73046875" style="79" customWidth="1"/>
    <col min="8" max="22" width="15.265625" style="79" customWidth="1"/>
    <col min="23" max="23" width="98.73046875" style="79" bestFit="1" customWidth="1"/>
    <col min="24" max="16384" width="9" style="79"/>
  </cols>
  <sheetData>
    <row r="2" spans="1:23" ht="18" x14ac:dyDescent="0.4">
      <c r="H2" s="108" t="str">
        <f>Table68[[#Headers],[Jul-22]]</f>
        <v>Jul-22</v>
      </c>
      <c r="I2" s="108" t="str">
        <f>Table68[[#Headers],[Aug-22]]</f>
        <v>Aug-22</v>
      </c>
      <c r="J2" s="108" t="str">
        <f>Table68[[#Headers],[Sep-22]]</f>
        <v>Sep-22</v>
      </c>
      <c r="K2" s="108" t="str">
        <f>Table68[[#Headers],[Oct-22]]</f>
        <v>Oct-22</v>
      </c>
      <c r="L2" s="108" t="str">
        <f>Table68[[#Headers],[Nov-22]]</f>
        <v>Nov-22</v>
      </c>
      <c r="M2" s="108" t="str">
        <f>Table68[[#Headers],[Dec-22]]</f>
        <v>Dec-22</v>
      </c>
      <c r="N2" s="108" t="str">
        <f>Table68[[#Headers],[Jan-23]]</f>
        <v>Jan-23</v>
      </c>
      <c r="O2" s="108" t="str">
        <f>Table68[[#Headers],[Feb-23]]</f>
        <v>Feb-23</v>
      </c>
      <c r="P2" s="108" t="str">
        <f>Table68[[#Headers],[Mar-23]]</f>
        <v>Mar-23</v>
      </c>
      <c r="Q2" s="108" t="str">
        <f>Table68[[#Headers],[Apr-23]]</f>
        <v>Apr-23</v>
      </c>
      <c r="R2" s="108" t="str">
        <f>Table68[[#Headers],[May-23]]</f>
        <v>May-23</v>
      </c>
      <c r="S2" s="108" t="str">
        <f>Table68[[#Headers],[Jun-23]]</f>
        <v>Jun-23</v>
      </c>
      <c r="T2" s="108" t="str">
        <f>Table68[[#Headers],[Jul-23]]</f>
        <v>Jul-23</v>
      </c>
      <c r="U2" s="108" t="str">
        <f>Table68[[#Headers],[Aug-23]]</f>
        <v>Aug-23</v>
      </c>
      <c r="V2" s="108" t="str">
        <f>Table68[[#Headers],[Sep-23]]</f>
        <v>Sep-23</v>
      </c>
    </row>
    <row r="3" spans="1:23" ht="23.65" customHeight="1" x14ac:dyDescent="0.4">
      <c r="F3" s="106" t="s">
        <v>860</v>
      </c>
      <c r="G3" s="107">
        <v>90</v>
      </c>
      <c r="H3" s="303"/>
      <c r="I3" s="304"/>
      <c r="J3" s="304"/>
      <c r="K3" s="304"/>
      <c r="L3" s="304"/>
      <c r="M3" s="304"/>
      <c r="N3" s="304"/>
      <c r="O3" s="304"/>
      <c r="P3" s="304"/>
      <c r="Q3" s="304"/>
      <c r="R3" s="304"/>
      <c r="S3" s="304"/>
      <c r="T3" s="304"/>
      <c r="U3" s="304"/>
      <c r="V3" s="304"/>
    </row>
    <row r="4" spans="1:23" ht="23.65" customHeight="1" x14ac:dyDescent="0.4">
      <c r="F4" s="106" t="s">
        <v>859</v>
      </c>
      <c r="G4" s="105">
        <f>SUM(H4:V4)</f>
        <v>48</v>
      </c>
      <c r="H4" s="104" cm="1">
        <f t="array" ref="H4">SUMIFS(Month1,Responsibility,"HALOCK")</f>
        <v>4</v>
      </c>
      <c r="I4" s="104" cm="1">
        <f t="array" ref="I4">SUMIFS(Month2,Responsibility,"HALOCK")</f>
        <v>4</v>
      </c>
      <c r="J4" s="104" cm="1">
        <f t="array" ref="J4">SUMIFS(Month3,Responsibility,"HALOCK")</f>
        <v>4</v>
      </c>
      <c r="K4" s="104" cm="1">
        <f t="array" ref="K4">SUMIFS(Month4,Responsibility,"HALOCK")</f>
        <v>4</v>
      </c>
      <c r="L4" s="104" cm="1">
        <f t="array" ref="L4">SUMIFS(Month5,Responsibility,"HALOCK")</f>
        <v>4</v>
      </c>
      <c r="M4" s="104" cm="1">
        <f t="array" ref="M4">SUMIFS(Month6,Responsibility,"HALOCK")</f>
        <v>4</v>
      </c>
      <c r="N4" s="104" cm="1">
        <f t="array" ref="N4">SUMIFS(Month7,Responsibility,"HALOCK")</f>
        <v>4</v>
      </c>
      <c r="O4" s="104" cm="1">
        <f t="array" ref="O4">SUMIFS(Month8,Responsibility,"HALOCK")</f>
        <v>4</v>
      </c>
      <c r="P4" s="104" cm="1">
        <f t="array" ref="P4">SUMIFS(Month9,Responsibility,"HALOCK")</f>
        <v>4</v>
      </c>
      <c r="Q4" s="104" cm="1">
        <f t="array" ref="Q4">SUMIFS(Month10,Responsibility,"HALOCK")</f>
        <v>4</v>
      </c>
      <c r="R4" s="104" cm="1">
        <f t="array" ref="R4">SUMIFS(Month11,Responsibility,"HALOCK")</f>
        <v>4</v>
      </c>
      <c r="S4" s="104" cm="1">
        <f t="array" ref="S4">SUMIFS(Month12,Responsibility,"HALOCK")</f>
        <v>4</v>
      </c>
      <c r="T4" s="104" cm="1">
        <f t="array" ref="T4">SUMIFS(Month13,Responsibility,"HALOCK")</f>
        <v>0</v>
      </c>
      <c r="U4" s="104" cm="1">
        <f t="array" ref="U4">SUMIFS(Month14,Responsibility,"HALOCK")</f>
        <v>0</v>
      </c>
      <c r="V4" s="104" cm="1">
        <f t="array" ref="V4">SUMIFS(Month15,Responsibility,"HALOCK")</f>
        <v>0</v>
      </c>
    </row>
    <row r="5" spans="1:23" ht="23.65" customHeight="1" x14ac:dyDescent="0.4">
      <c r="F5" s="106" t="s">
        <v>858</v>
      </c>
      <c r="G5" s="105">
        <f>G3-G4</f>
        <v>42</v>
      </c>
      <c r="H5" s="104"/>
      <c r="I5" s="104"/>
      <c r="J5" s="104"/>
      <c r="K5" s="104"/>
      <c r="L5" s="104"/>
      <c r="M5" s="104"/>
      <c r="N5" s="104"/>
      <c r="O5" s="104"/>
      <c r="P5" s="104"/>
      <c r="Q5" s="104"/>
      <c r="R5" s="104"/>
      <c r="S5" s="104"/>
      <c r="T5" s="104"/>
      <c r="U5" s="104"/>
      <c r="V5" s="104"/>
    </row>
    <row r="8" spans="1:23" ht="21" x14ac:dyDescent="0.65">
      <c r="H8" s="305" t="s">
        <v>857</v>
      </c>
      <c r="I8" s="305"/>
      <c r="J8" s="305"/>
      <c r="K8" s="305" t="s">
        <v>856</v>
      </c>
      <c r="L8" s="305"/>
      <c r="M8" s="305"/>
      <c r="N8" s="305" t="s">
        <v>855</v>
      </c>
      <c r="O8" s="305"/>
      <c r="P8" s="305"/>
      <c r="Q8" s="305" t="s">
        <v>854</v>
      </c>
      <c r="R8" s="305"/>
      <c r="S8" s="305"/>
      <c r="T8" s="305" t="s">
        <v>853</v>
      </c>
      <c r="U8" s="305"/>
      <c r="V8" s="305"/>
    </row>
    <row r="9" spans="1:23" s="97" customFormat="1" ht="21" x14ac:dyDescent="0.65">
      <c r="A9" s="103" t="s">
        <v>852</v>
      </c>
      <c r="B9" s="100" t="s">
        <v>74</v>
      </c>
      <c r="C9" s="102" t="s">
        <v>851</v>
      </c>
      <c r="D9" s="101" t="s">
        <v>850</v>
      </c>
      <c r="E9" s="101" t="s">
        <v>849</v>
      </c>
      <c r="F9" s="101" t="s">
        <v>566</v>
      </c>
      <c r="G9" s="100" t="s">
        <v>848</v>
      </c>
      <c r="H9" s="99" t="s">
        <v>847</v>
      </c>
      <c r="I9" s="99" t="s">
        <v>846</v>
      </c>
      <c r="J9" s="99" t="s">
        <v>845</v>
      </c>
      <c r="K9" s="99" t="s">
        <v>844</v>
      </c>
      <c r="L9" s="99" t="s">
        <v>843</v>
      </c>
      <c r="M9" s="99" t="s">
        <v>842</v>
      </c>
      <c r="N9" s="99" t="s">
        <v>841</v>
      </c>
      <c r="O9" s="99" t="s">
        <v>840</v>
      </c>
      <c r="P9" s="99" t="s">
        <v>839</v>
      </c>
      <c r="Q9" s="99" t="s">
        <v>838</v>
      </c>
      <c r="R9" s="99" t="s">
        <v>837</v>
      </c>
      <c r="S9" s="99" t="s">
        <v>836</v>
      </c>
      <c r="T9" s="99" t="s">
        <v>835</v>
      </c>
      <c r="U9" s="99" t="s">
        <v>834</v>
      </c>
      <c r="V9" s="99" t="s">
        <v>833</v>
      </c>
      <c r="W9" s="98" t="s">
        <v>832</v>
      </c>
    </row>
    <row r="10" spans="1:23" ht="18" x14ac:dyDescent="0.4">
      <c r="A10" s="91" t="s">
        <v>831</v>
      </c>
      <c r="B10" s="96" t="s">
        <v>162</v>
      </c>
      <c r="C10" s="89" t="s">
        <v>830</v>
      </c>
      <c r="D10" s="88" t="s">
        <v>829</v>
      </c>
      <c r="E10" s="88" t="s">
        <v>828</v>
      </c>
      <c r="F10" s="95"/>
      <c r="G10" s="94"/>
      <c r="H10" s="93">
        <v>4</v>
      </c>
      <c r="I10" s="93">
        <v>4</v>
      </c>
      <c r="J10" s="93">
        <v>4</v>
      </c>
      <c r="K10" s="93">
        <v>4</v>
      </c>
      <c r="L10" s="93">
        <v>4</v>
      </c>
      <c r="M10" s="93">
        <v>4</v>
      </c>
      <c r="N10" s="93">
        <v>4</v>
      </c>
      <c r="O10" s="93">
        <v>4</v>
      </c>
      <c r="P10" s="93">
        <v>4</v>
      </c>
      <c r="Q10" s="93">
        <v>4</v>
      </c>
      <c r="R10" s="93">
        <v>4</v>
      </c>
      <c r="S10" s="93">
        <v>4</v>
      </c>
      <c r="T10" s="88"/>
      <c r="U10" s="88"/>
      <c r="V10" s="88"/>
      <c r="W10" s="92"/>
    </row>
    <row r="11" spans="1:23" ht="18" x14ac:dyDescent="0.4">
      <c r="A11" s="91"/>
      <c r="B11" s="96"/>
      <c r="C11" s="89"/>
      <c r="D11" s="88"/>
      <c r="E11" s="88"/>
      <c r="F11" s="95"/>
      <c r="G11" s="94"/>
      <c r="H11" s="93"/>
      <c r="I11" s="93"/>
      <c r="J11" s="93"/>
      <c r="K11" s="93"/>
      <c r="L11" s="93"/>
      <c r="M11" s="93"/>
      <c r="N11" s="93"/>
      <c r="O11" s="93"/>
      <c r="P11" s="93"/>
      <c r="Q11" s="93"/>
      <c r="R11" s="93"/>
      <c r="S11" s="93"/>
      <c r="T11" s="88"/>
      <c r="U11" s="88"/>
      <c r="V11" s="88"/>
      <c r="W11" s="92"/>
    </row>
    <row r="12" spans="1:23" ht="18" x14ac:dyDescent="0.4">
      <c r="A12" s="91"/>
      <c r="B12" s="96"/>
      <c r="C12" s="89"/>
      <c r="D12" s="88"/>
      <c r="E12" s="88"/>
      <c r="F12" s="95"/>
      <c r="G12" s="94"/>
      <c r="H12" s="93"/>
      <c r="I12" s="93"/>
      <c r="J12" s="93"/>
      <c r="K12" s="93"/>
      <c r="L12" s="93"/>
      <c r="M12" s="93"/>
      <c r="N12" s="93"/>
      <c r="O12" s="93"/>
      <c r="P12" s="93"/>
      <c r="Q12" s="93"/>
      <c r="R12" s="93"/>
      <c r="S12" s="93"/>
      <c r="T12" s="88"/>
      <c r="U12" s="88"/>
      <c r="V12" s="88"/>
      <c r="W12" s="92"/>
    </row>
    <row r="13" spans="1:23" ht="18" x14ac:dyDescent="0.4">
      <c r="A13" s="91"/>
      <c r="B13" s="96"/>
      <c r="C13" s="89"/>
      <c r="D13" s="88"/>
      <c r="E13" s="88"/>
      <c r="F13" s="95"/>
      <c r="G13" s="94"/>
      <c r="H13" s="93"/>
      <c r="I13" s="93"/>
      <c r="J13" s="93"/>
      <c r="K13" s="93"/>
      <c r="L13" s="93"/>
      <c r="M13" s="93"/>
      <c r="N13" s="93"/>
      <c r="O13" s="93"/>
      <c r="P13" s="93"/>
      <c r="Q13" s="93"/>
      <c r="R13" s="93"/>
      <c r="S13" s="93"/>
      <c r="T13" s="88"/>
      <c r="U13" s="88"/>
      <c r="V13" s="88"/>
      <c r="W13" s="92"/>
    </row>
    <row r="14" spans="1:23" ht="68.650000000000006" customHeight="1" x14ac:dyDescent="0.4">
      <c r="A14" s="91"/>
      <c r="B14" s="96"/>
      <c r="C14" s="89"/>
      <c r="D14" s="88"/>
      <c r="E14" s="88"/>
      <c r="F14" s="95"/>
      <c r="G14" s="94"/>
      <c r="H14" s="93"/>
      <c r="I14" s="93"/>
      <c r="J14" s="93"/>
      <c r="K14" s="93"/>
      <c r="L14" s="93"/>
      <c r="M14" s="93"/>
      <c r="N14" s="93"/>
      <c r="O14" s="93"/>
      <c r="P14" s="93"/>
      <c r="Q14" s="93"/>
      <c r="R14" s="93"/>
      <c r="S14" s="93"/>
      <c r="T14" s="88"/>
      <c r="U14" s="88"/>
      <c r="V14" s="88"/>
      <c r="W14" s="92"/>
    </row>
    <row r="15" spans="1:23" ht="68.650000000000006" customHeight="1" x14ac:dyDescent="0.4">
      <c r="A15" s="91"/>
      <c r="B15" s="96"/>
      <c r="C15" s="89"/>
      <c r="D15" s="88"/>
      <c r="E15" s="84"/>
      <c r="F15" s="95"/>
      <c r="G15" s="94"/>
      <c r="H15" s="93"/>
      <c r="I15" s="93"/>
      <c r="J15" s="93"/>
      <c r="K15" s="93"/>
      <c r="L15" s="93"/>
      <c r="M15" s="93"/>
      <c r="N15" s="93"/>
      <c r="O15" s="93"/>
      <c r="P15" s="93"/>
      <c r="Q15" s="93"/>
      <c r="R15" s="93"/>
      <c r="S15" s="93"/>
      <c r="T15" s="88"/>
      <c r="U15" s="88"/>
      <c r="V15" s="88"/>
      <c r="W15" s="92"/>
    </row>
    <row r="16" spans="1:23" ht="68.650000000000006" customHeight="1" x14ac:dyDescent="0.4">
      <c r="A16" s="91"/>
      <c r="B16" s="96"/>
      <c r="C16" s="89"/>
      <c r="D16" s="88"/>
      <c r="E16" s="88"/>
      <c r="F16" s="95"/>
      <c r="G16" s="94"/>
      <c r="H16" s="93"/>
      <c r="I16" s="93"/>
      <c r="J16" s="93"/>
      <c r="K16" s="93"/>
      <c r="L16" s="93"/>
      <c r="M16" s="93"/>
      <c r="N16" s="93"/>
      <c r="O16" s="93"/>
      <c r="P16" s="93"/>
      <c r="Q16" s="93"/>
      <c r="R16" s="93"/>
      <c r="S16" s="93"/>
      <c r="T16" s="88"/>
      <c r="U16" s="88"/>
      <c r="V16" s="88"/>
      <c r="W16" s="92"/>
    </row>
    <row r="17" spans="1:23" ht="18" x14ac:dyDescent="0.4">
      <c r="A17" s="91"/>
      <c r="B17" s="96"/>
      <c r="C17" s="89"/>
      <c r="D17" s="88"/>
      <c r="E17" s="88"/>
      <c r="F17" s="95"/>
      <c r="G17" s="94"/>
      <c r="H17" s="93"/>
      <c r="I17" s="93"/>
      <c r="J17" s="93"/>
      <c r="K17" s="93"/>
      <c r="L17" s="93"/>
      <c r="M17" s="93"/>
      <c r="N17" s="93"/>
      <c r="O17" s="93"/>
      <c r="P17" s="93"/>
      <c r="Q17" s="93"/>
      <c r="R17" s="93"/>
      <c r="S17" s="93"/>
      <c r="T17" s="88"/>
      <c r="U17" s="88"/>
      <c r="V17" s="88"/>
      <c r="W17" s="92"/>
    </row>
    <row r="18" spans="1:23" ht="18" x14ac:dyDescent="0.4">
      <c r="A18" s="91"/>
      <c r="B18" s="90"/>
      <c r="C18" s="89"/>
      <c r="D18" s="88"/>
      <c r="E18" s="84"/>
      <c r="F18" s="87"/>
      <c r="G18" s="86"/>
      <c r="H18" s="85"/>
      <c r="I18" s="85"/>
      <c r="J18" s="85"/>
      <c r="K18" s="85"/>
      <c r="L18" s="85"/>
      <c r="M18" s="85"/>
      <c r="N18" s="85"/>
      <c r="O18" s="85"/>
      <c r="P18" s="85"/>
      <c r="Q18" s="85"/>
      <c r="R18" s="85"/>
      <c r="S18" s="85"/>
      <c r="T18" s="84"/>
      <c r="U18" s="84"/>
      <c r="V18" s="84"/>
      <c r="W18" s="83"/>
    </row>
    <row r="19" spans="1:23" ht="18" x14ac:dyDescent="0.4">
      <c r="A19" s="91"/>
      <c r="B19" s="90"/>
      <c r="C19" s="89"/>
      <c r="D19" s="88"/>
      <c r="E19" s="84"/>
      <c r="F19" s="87"/>
      <c r="G19" s="86"/>
      <c r="H19" s="85"/>
      <c r="I19" s="85"/>
      <c r="J19" s="85"/>
      <c r="K19" s="85"/>
      <c r="L19" s="85"/>
      <c r="M19" s="85"/>
      <c r="N19" s="85"/>
      <c r="O19" s="85"/>
      <c r="P19" s="85"/>
      <c r="Q19" s="85"/>
      <c r="R19" s="85"/>
      <c r="S19" s="85"/>
      <c r="T19" s="84"/>
      <c r="U19" s="84"/>
      <c r="V19" s="84"/>
      <c r="W19" s="83"/>
    </row>
  </sheetData>
  <mergeCells count="6">
    <mergeCell ref="H3:V3"/>
    <mergeCell ref="H8:J8"/>
    <mergeCell ref="K8:M8"/>
    <mergeCell ref="N8:P8"/>
    <mergeCell ref="Q8:S8"/>
    <mergeCell ref="T8:V8"/>
  </mergeCells>
  <conditionalFormatting sqref="G9:G19">
    <cfRule type="cellIs" dxfId="63" priority="1" operator="equal">
      <formula>"Not Yet Started"</formula>
    </cfRule>
    <cfRule type="cellIs" dxfId="62" priority="2" operator="equal">
      <formula>"In Progress"</formula>
    </cfRule>
    <cfRule type="cellIs" dxfId="61" priority="3" operator="equal">
      <formula>"Completed"</formula>
    </cfRule>
  </conditionalFormatting>
  <conditionalFormatting sqref="G10:G19">
    <cfRule type="containsText" dxfId="60" priority="4" operator="containsText" text="Urgent">
      <formula>NOT(ISERROR(SEARCH("Urgent",G10)))</formula>
    </cfRule>
    <cfRule type="containsText" dxfId="59" priority="5" operator="containsText" text="Completed">
      <formula>NOT(ISERROR(SEARCH("Completed",G10)))</formula>
    </cfRule>
    <cfRule type="containsText" dxfId="58" priority="6" operator="containsText" text="QA/QC">
      <formula>NOT(ISERROR(SEARCH("QA/QC",G10)))</formula>
    </cfRule>
    <cfRule type="containsText" dxfId="57" priority="7" operator="containsText" text="3rd Party Action">
      <formula>NOT(ISERROR(SEARCH("3rd Party Action",G10)))</formula>
    </cfRule>
    <cfRule type="containsText" dxfId="56" priority="8" operator="containsText" text="Working">
      <formula>NOT(ISERROR(SEARCH("Working",G10)))</formula>
    </cfRule>
    <cfRule type="containsText" dxfId="55" priority="9" operator="containsText" text="Initiated">
      <formula>NOT(ISERROR(SEARCH("Initiated",G10)))</formula>
    </cfRule>
    <cfRule type="beginsWith" dxfId="54" priority="10" operator="beginsWith" text="Not Started">
      <formula>LEFT(G10,LEN("Not Started"))="Not Started"</formula>
    </cfRule>
  </conditionalFormatting>
  <conditionalFormatting sqref="G21:G1048576">
    <cfRule type="cellIs" dxfId="53" priority="11" operator="equal">
      <formula>"Not Yet Started"</formula>
    </cfRule>
    <cfRule type="cellIs" dxfId="52" priority="12" operator="equal">
      <formula>"In Progress"</formula>
    </cfRule>
    <cfRule type="cellIs" dxfId="51" priority="13" operator="equal">
      <formula>"Completed"</formula>
    </cfRule>
  </conditionalFormatting>
  <dataValidations count="1">
    <dataValidation type="list" allowBlank="1" showInputMessage="1" showErrorMessage="1" sqref="B10:B19" xr:uid="{E518C980-DC3A-4264-9F8E-5DE2AE797288}">
      <formula1>Risk_Treatment_Program</formula1>
    </dataValidation>
  </dataValidations>
  <pageMargins left="0.7" right="0.7" top="0.75" bottom="0.75" header="0.3" footer="0.3"/>
  <pageSetup fitToWidth="0"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theme="4" tint="0.39997558519241921"/>
    <pageSetUpPr fitToPage="1"/>
  </sheetPr>
  <dimension ref="B1:L37"/>
  <sheetViews>
    <sheetView showGridLines="0" topLeftCell="A10" zoomScaleNormal="100" workbookViewId="0">
      <selection activeCell="D34" sqref="D34"/>
    </sheetView>
  </sheetViews>
  <sheetFormatPr defaultRowHeight="14.25" x14ac:dyDescent="0.45"/>
  <cols>
    <col min="1" max="1" width="1.86328125" customWidth="1"/>
    <col min="2" max="2" width="22.86328125" bestFit="1" customWidth="1"/>
    <col min="3" max="5" width="28.73046875" customWidth="1"/>
    <col min="6" max="6" width="5.265625" customWidth="1"/>
    <col min="7" max="7" width="11.1328125" customWidth="1"/>
    <col min="9" max="9" width="11.86328125" customWidth="1"/>
  </cols>
  <sheetData>
    <row r="1" spans="2:11" ht="32.25" customHeight="1" x14ac:dyDescent="0.45">
      <c r="B1" s="318" t="s">
        <v>114</v>
      </c>
      <c r="C1" s="318"/>
      <c r="D1" s="318"/>
      <c r="E1" s="318"/>
      <c r="F1" s="318"/>
      <c r="G1" s="318"/>
      <c r="H1" s="318"/>
      <c r="I1" s="318"/>
      <c r="J1" s="318"/>
      <c r="K1" s="318"/>
    </row>
    <row r="2" spans="2:11" x14ac:dyDescent="0.45">
      <c r="B2" s="41"/>
      <c r="C2" s="41"/>
      <c r="D2" s="41"/>
      <c r="E2" s="41"/>
      <c r="F2" s="41"/>
      <c r="G2" s="41"/>
      <c r="H2" s="41"/>
      <c r="I2" s="41"/>
      <c r="J2" s="41"/>
      <c r="K2" s="41"/>
    </row>
    <row r="3" spans="2:11" x14ac:dyDescent="0.45">
      <c r="B3" s="34" t="s">
        <v>115</v>
      </c>
      <c r="C3" s="41"/>
      <c r="D3" s="41"/>
      <c r="E3" s="41"/>
      <c r="F3" s="41"/>
      <c r="G3" s="41"/>
      <c r="H3" s="41"/>
      <c r="I3" s="41"/>
      <c r="J3" s="41"/>
      <c r="K3" s="41"/>
    </row>
    <row r="4" spans="2:11" ht="14.65" thickBot="1" x14ac:dyDescent="0.5">
      <c r="B4" s="41"/>
      <c r="C4" s="41"/>
      <c r="D4" s="41"/>
      <c r="E4" s="41"/>
      <c r="F4" s="41"/>
      <c r="G4" s="41"/>
      <c r="H4" s="41"/>
      <c r="I4" s="41"/>
      <c r="J4" s="41"/>
      <c r="K4" s="41"/>
    </row>
    <row r="5" spans="2:11" x14ac:dyDescent="0.45">
      <c r="B5" s="58" t="s">
        <v>68</v>
      </c>
      <c r="C5" s="59" t="s">
        <v>126</v>
      </c>
      <c r="D5" s="59" t="s">
        <v>66</v>
      </c>
      <c r="E5" s="59" t="s">
        <v>67</v>
      </c>
      <c r="F5" s="41"/>
      <c r="G5" s="55" t="s">
        <v>116</v>
      </c>
      <c r="H5" s="316" t="s">
        <v>117</v>
      </c>
      <c r="I5" s="49" t="s">
        <v>118</v>
      </c>
      <c r="J5" s="316" t="s">
        <v>119</v>
      </c>
      <c r="K5" s="49" t="s">
        <v>120</v>
      </c>
    </row>
    <row r="6" spans="2:11" ht="46.9" thickBot="1" x14ac:dyDescent="0.5">
      <c r="B6" s="42"/>
      <c r="C6" s="43" t="s">
        <v>1528</v>
      </c>
      <c r="D6" s="43" t="s">
        <v>1529</v>
      </c>
      <c r="E6" s="43" t="s">
        <v>1530</v>
      </c>
      <c r="F6" s="41"/>
      <c r="G6" s="56" t="s">
        <v>121</v>
      </c>
      <c r="H6" s="317"/>
      <c r="I6" s="50" t="s">
        <v>121</v>
      </c>
      <c r="J6" s="317"/>
      <c r="K6" s="50" t="s">
        <v>121</v>
      </c>
    </row>
    <row r="7" spans="2:11" ht="35.25" thickBot="1" x14ac:dyDescent="0.5">
      <c r="B7" s="46" t="s">
        <v>128</v>
      </c>
      <c r="C7" s="42" t="s">
        <v>1531</v>
      </c>
      <c r="D7" s="42" t="s">
        <v>1532</v>
      </c>
      <c r="E7" s="42" t="s">
        <v>1533</v>
      </c>
      <c r="F7" s="41"/>
      <c r="G7" s="51">
        <v>3</v>
      </c>
      <c r="H7" s="52" t="s">
        <v>791</v>
      </c>
      <c r="I7" s="52">
        <v>3</v>
      </c>
      <c r="J7" s="52" t="s">
        <v>119</v>
      </c>
      <c r="K7" s="52">
        <f>G7*I7</f>
        <v>9</v>
      </c>
    </row>
    <row r="8" spans="2:11" ht="58.5" thickBot="1" x14ac:dyDescent="0.5">
      <c r="B8" s="46" t="s">
        <v>130</v>
      </c>
      <c r="C8" s="42" t="s">
        <v>1534</v>
      </c>
      <c r="D8" s="42" t="s">
        <v>1535</v>
      </c>
      <c r="E8" s="42" t="s">
        <v>1536</v>
      </c>
      <c r="F8" s="41"/>
      <c r="G8" s="310" t="s">
        <v>122</v>
      </c>
      <c r="H8" s="311"/>
      <c r="I8" s="311"/>
      <c r="J8" s="311"/>
      <c r="K8" s="312"/>
    </row>
    <row r="9" spans="2:11" ht="46.9" thickBot="1" x14ac:dyDescent="0.5">
      <c r="B9" s="46" t="s">
        <v>132</v>
      </c>
      <c r="C9" s="42" t="s">
        <v>1537</v>
      </c>
      <c r="D9" s="42" t="s">
        <v>1538</v>
      </c>
      <c r="E9" s="42" t="s">
        <v>1539</v>
      </c>
      <c r="F9" s="41"/>
      <c r="G9" s="313" t="s">
        <v>123</v>
      </c>
      <c r="H9" s="314"/>
      <c r="I9" s="315"/>
      <c r="J9" s="53" t="s">
        <v>124</v>
      </c>
      <c r="K9" s="53">
        <f>K7</f>
        <v>9</v>
      </c>
    </row>
    <row r="10" spans="2:11" ht="58.15" x14ac:dyDescent="0.45">
      <c r="B10" s="46" t="s">
        <v>135</v>
      </c>
      <c r="C10" s="42" t="s">
        <v>1540</v>
      </c>
      <c r="D10" s="42" t="s">
        <v>1541</v>
      </c>
      <c r="E10" s="42" t="s">
        <v>1542</v>
      </c>
      <c r="F10" s="41"/>
      <c r="G10" s="41"/>
      <c r="H10" s="41"/>
      <c r="I10" s="41"/>
      <c r="J10" s="41"/>
      <c r="K10" s="41"/>
    </row>
    <row r="11" spans="2:11" ht="46.5" x14ac:dyDescent="0.45">
      <c r="B11" s="46" t="s">
        <v>137</v>
      </c>
      <c r="C11" s="42" t="s">
        <v>1543</v>
      </c>
      <c r="D11" s="42" t="s">
        <v>1544</v>
      </c>
      <c r="E11" s="42" t="s">
        <v>1545</v>
      </c>
      <c r="F11" s="41"/>
      <c r="G11" s="41"/>
      <c r="H11" s="41"/>
      <c r="I11" s="41"/>
      <c r="J11" s="41"/>
      <c r="K11" s="41"/>
    </row>
    <row r="14" spans="2:11" x14ac:dyDescent="0.45">
      <c r="B14" s="34" t="s">
        <v>125</v>
      </c>
      <c r="C14" s="41"/>
      <c r="D14" s="41"/>
      <c r="E14" s="41"/>
      <c r="F14" s="41"/>
      <c r="G14" s="41"/>
      <c r="H14" s="41"/>
      <c r="I14" s="41"/>
      <c r="J14" s="41"/>
      <c r="K14" s="41"/>
    </row>
    <row r="15" spans="2:11" x14ac:dyDescent="0.45">
      <c r="B15" s="41"/>
      <c r="C15" s="41"/>
      <c r="D15" s="41"/>
      <c r="E15" s="41"/>
      <c r="F15" s="41"/>
      <c r="G15" s="41"/>
      <c r="H15" s="41"/>
      <c r="I15" s="41"/>
      <c r="J15" s="41"/>
      <c r="K15" s="41"/>
    </row>
    <row r="16" spans="2:11" ht="14.65" thickBot="1" x14ac:dyDescent="0.5">
      <c r="B16" s="41"/>
      <c r="C16" s="41"/>
      <c r="D16" s="41"/>
      <c r="E16" s="41"/>
      <c r="F16" s="41"/>
      <c r="G16" s="41"/>
      <c r="H16" s="41"/>
      <c r="I16" s="41"/>
      <c r="J16" s="41"/>
      <c r="K16" s="41"/>
    </row>
    <row r="17" spans="2:12" x14ac:dyDescent="0.45">
      <c r="B17" s="44" t="s">
        <v>68</v>
      </c>
      <c r="C17" s="45" t="s">
        <v>126</v>
      </c>
      <c r="D17" s="45" t="s">
        <v>66</v>
      </c>
      <c r="E17" s="45" t="s">
        <v>67</v>
      </c>
      <c r="F17" s="41"/>
      <c r="G17" s="55" t="s">
        <v>116</v>
      </c>
      <c r="H17" s="316" t="s">
        <v>117</v>
      </c>
      <c r="I17" s="49" t="s">
        <v>118</v>
      </c>
      <c r="J17" s="316" t="s">
        <v>119</v>
      </c>
      <c r="K17" s="49" t="s">
        <v>120</v>
      </c>
    </row>
    <row r="18" spans="2:12" ht="23.65" thickBot="1" x14ac:dyDescent="0.5">
      <c r="B18" s="42"/>
      <c r="C18" s="43" t="s">
        <v>816</v>
      </c>
      <c r="D18" s="43" t="s">
        <v>127</v>
      </c>
      <c r="E18" s="43" t="s">
        <v>817</v>
      </c>
      <c r="F18" s="41"/>
      <c r="G18" s="56" t="s">
        <v>121</v>
      </c>
      <c r="H18" s="317"/>
      <c r="I18" s="50" t="s">
        <v>121</v>
      </c>
      <c r="J18" s="317"/>
      <c r="K18" s="50" t="s">
        <v>121</v>
      </c>
    </row>
    <row r="19" spans="2:12" ht="23.65" thickBot="1" x14ac:dyDescent="0.5">
      <c r="B19" s="46" t="s">
        <v>128</v>
      </c>
      <c r="C19" s="42" t="s">
        <v>818</v>
      </c>
      <c r="D19" s="42" t="s">
        <v>129</v>
      </c>
      <c r="E19" s="42" t="s">
        <v>819</v>
      </c>
      <c r="F19" s="41"/>
      <c r="G19" s="51">
        <v>3</v>
      </c>
      <c r="H19" s="52" t="s">
        <v>117</v>
      </c>
      <c r="I19" s="52">
        <v>3</v>
      </c>
      <c r="J19" s="52" t="s">
        <v>119</v>
      </c>
      <c r="K19" s="52">
        <f>I19*G19</f>
        <v>9</v>
      </c>
    </row>
    <row r="20" spans="2:12" ht="23.65" thickBot="1" x14ac:dyDescent="0.5">
      <c r="B20" s="46" t="s">
        <v>130</v>
      </c>
      <c r="C20" s="42" t="s">
        <v>820</v>
      </c>
      <c r="D20" s="42" t="s">
        <v>131</v>
      </c>
      <c r="E20" s="42" t="s">
        <v>821</v>
      </c>
      <c r="F20" s="41"/>
      <c r="G20" s="310" t="s">
        <v>122</v>
      </c>
      <c r="H20" s="311"/>
      <c r="I20" s="311"/>
      <c r="J20" s="311"/>
      <c r="K20" s="312"/>
    </row>
    <row r="21" spans="2:12" ht="35.25" thickBot="1" x14ac:dyDescent="0.5">
      <c r="B21" s="46" t="s">
        <v>132</v>
      </c>
      <c r="C21" s="42" t="s">
        <v>827</v>
      </c>
      <c r="D21" s="42" t="s">
        <v>133</v>
      </c>
      <c r="E21" s="42" t="s">
        <v>822</v>
      </c>
      <c r="F21" s="41"/>
      <c r="G21" s="313" t="s">
        <v>123</v>
      </c>
      <c r="H21" s="314"/>
      <c r="I21" s="315"/>
      <c r="J21" s="53" t="s">
        <v>134</v>
      </c>
      <c r="K21" s="53">
        <f>K19</f>
        <v>9</v>
      </c>
    </row>
    <row r="22" spans="2:12" ht="23.25" x14ac:dyDescent="0.45">
      <c r="B22" s="46" t="s">
        <v>135</v>
      </c>
      <c r="C22" s="42" t="s">
        <v>823</v>
      </c>
      <c r="D22" s="42" t="s">
        <v>136</v>
      </c>
      <c r="E22" s="42" t="s">
        <v>824</v>
      </c>
      <c r="F22" s="41"/>
      <c r="G22" s="41"/>
      <c r="H22" s="41"/>
      <c r="I22" s="41"/>
      <c r="J22" s="41"/>
      <c r="K22" s="41"/>
    </row>
    <row r="23" spans="2:12" ht="34.9" x14ac:dyDescent="0.45">
      <c r="B23" s="46" t="s">
        <v>137</v>
      </c>
      <c r="C23" s="42" t="s">
        <v>825</v>
      </c>
      <c r="D23" s="42" t="s">
        <v>138</v>
      </c>
      <c r="E23" s="42" t="s">
        <v>826</v>
      </c>
      <c r="F23" s="41"/>
    </row>
    <row r="24" spans="2:12" x14ac:dyDescent="0.45">
      <c r="B24" s="41"/>
      <c r="C24" s="41"/>
      <c r="D24" s="41"/>
      <c r="E24" s="41"/>
      <c r="F24" s="41"/>
    </row>
    <row r="25" spans="2:12" ht="14.65" thickBot="1" x14ac:dyDescent="0.5">
      <c r="H25" s="322" t="s">
        <v>139</v>
      </c>
      <c r="I25" s="322"/>
      <c r="J25" s="322"/>
      <c r="K25" s="322"/>
      <c r="L25" s="322"/>
    </row>
    <row r="26" spans="2:12" ht="14.65" thickBot="1" x14ac:dyDescent="0.5">
      <c r="B26" s="47" t="s">
        <v>64</v>
      </c>
      <c r="C26" s="329" t="s">
        <v>140</v>
      </c>
      <c r="D26" s="330"/>
      <c r="E26" s="331"/>
      <c r="G26" s="5" t="s">
        <v>118</v>
      </c>
      <c r="H26" s="6">
        <v>1</v>
      </c>
      <c r="I26" s="6">
        <v>2</v>
      </c>
      <c r="J26" s="6">
        <v>3</v>
      </c>
      <c r="K26" s="6">
        <v>4</v>
      </c>
      <c r="L26" s="7">
        <v>5</v>
      </c>
    </row>
    <row r="27" spans="2:12" ht="14.65" thickBot="1" x14ac:dyDescent="0.5">
      <c r="B27" s="48" t="s">
        <v>141</v>
      </c>
      <c r="C27" s="326" t="s">
        <v>792</v>
      </c>
      <c r="D27" s="327"/>
      <c r="E27" s="328"/>
      <c r="G27" s="8">
        <v>1</v>
      </c>
      <c r="H27" s="32">
        <v>1</v>
      </c>
      <c r="I27" s="32">
        <v>2</v>
      </c>
      <c r="J27" s="32">
        <v>3</v>
      </c>
      <c r="K27" s="32">
        <v>4</v>
      </c>
      <c r="L27" s="32">
        <v>5</v>
      </c>
    </row>
    <row r="28" spans="2:12" ht="14.65" thickBot="1" x14ac:dyDescent="0.5">
      <c r="B28" s="48" t="s">
        <v>142</v>
      </c>
      <c r="C28" s="326" t="s">
        <v>793</v>
      </c>
      <c r="D28" s="327"/>
      <c r="E28" s="328"/>
      <c r="G28" s="8">
        <v>2</v>
      </c>
      <c r="H28" s="32">
        <v>2</v>
      </c>
      <c r="I28" s="32">
        <v>4</v>
      </c>
      <c r="J28" s="32">
        <v>6</v>
      </c>
      <c r="K28" s="32">
        <v>8</v>
      </c>
      <c r="L28" s="32">
        <v>10</v>
      </c>
    </row>
    <row r="29" spans="2:12" ht="14.65" thickBot="1" x14ac:dyDescent="0.5">
      <c r="B29" s="48" t="s">
        <v>143</v>
      </c>
      <c r="C29" s="326" t="s">
        <v>794</v>
      </c>
      <c r="D29" s="327"/>
      <c r="E29" s="328"/>
      <c r="G29" s="8">
        <v>3</v>
      </c>
      <c r="H29" s="32">
        <v>3</v>
      </c>
      <c r="I29" s="32">
        <v>6</v>
      </c>
      <c r="J29" s="32">
        <v>9</v>
      </c>
      <c r="K29" s="32">
        <v>12</v>
      </c>
      <c r="L29" s="32">
        <v>15</v>
      </c>
    </row>
    <row r="30" spans="2:12" ht="14.65" thickBot="1" x14ac:dyDescent="0.5">
      <c r="B30" s="48" t="s">
        <v>144</v>
      </c>
      <c r="C30" s="326" t="s">
        <v>795</v>
      </c>
      <c r="D30" s="327"/>
      <c r="E30" s="328"/>
      <c r="G30" s="8">
        <v>4</v>
      </c>
      <c r="H30" s="32">
        <v>4</v>
      </c>
      <c r="I30" s="32">
        <v>8</v>
      </c>
      <c r="J30" s="32">
        <v>12</v>
      </c>
      <c r="K30" s="32">
        <v>16</v>
      </c>
      <c r="L30" s="32">
        <v>20</v>
      </c>
    </row>
    <row r="31" spans="2:12" ht="14.65" thickBot="1" x14ac:dyDescent="0.5">
      <c r="B31" s="48" t="s">
        <v>145</v>
      </c>
      <c r="C31" s="326" t="s">
        <v>796</v>
      </c>
      <c r="D31" s="327"/>
      <c r="E31" s="328"/>
      <c r="G31" s="8">
        <v>5</v>
      </c>
      <c r="H31" s="32">
        <v>5</v>
      </c>
      <c r="I31" s="32">
        <v>10</v>
      </c>
      <c r="J31" s="32">
        <v>15</v>
      </c>
      <c r="K31" s="32">
        <v>20</v>
      </c>
      <c r="L31" s="32">
        <v>25</v>
      </c>
    </row>
    <row r="33" spans="3:10" x14ac:dyDescent="0.45">
      <c r="C33" t="str">
        <f>B27&amp;" | " &amp;C27</f>
        <v>1 - Not Foreseeable | Control would reliability prevent the threat</v>
      </c>
    </row>
    <row r="34" spans="3:10" ht="14.65" thickBot="1" x14ac:dyDescent="0.5">
      <c r="C34" t="str">
        <f>B28&amp;" | " &amp;C28</f>
        <v>2 - Foreseeable, not expected | Control would reliably prevent most occurences of the threat</v>
      </c>
      <c r="G34" s="323" t="s">
        <v>146</v>
      </c>
      <c r="H34" s="324"/>
      <c r="I34" s="325"/>
      <c r="J34" s="29">
        <f>K9</f>
        <v>9</v>
      </c>
    </row>
    <row r="35" spans="3:10" ht="14.65" thickBot="1" x14ac:dyDescent="0.5">
      <c r="C35" t="str">
        <f>B29&amp;" | " &amp;C29</f>
        <v>3 - Foreseeable, expected | Control would prevent as many threat occurences as it would miss</v>
      </c>
      <c r="G35" s="319" t="s">
        <v>147</v>
      </c>
      <c r="H35" s="320"/>
      <c r="I35" s="321"/>
      <c r="J35" s="29">
        <v>15</v>
      </c>
    </row>
    <row r="36" spans="3:10" x14ac:dyDescent="0.45">
      <c r="C36" t="str">
        <f>B30&amp;" | " &amp;C30</f>
        <v>4 - Common | Control would prevent few threat occurences</v>
      </c>
    </row>
    <row r="37" spans="3:10" x14ac:dyDescent="0.45">
      <c r="C37" t="str">
        <f>B31&amp;" | " &amp;C31</f>
        <v>5 - Continuous | Control would not prevent threat occurrences</v>
      </c>
    </row>
  </sheetData>
  <mergeCells count="18">
    <mergeCell ref="C30:E30"/>
    <mergeCell ref="C31:E31"/>
    <mergeCell ref="C26:E26"/>
    <mergeCell ref="C27:E27"/>
    <mergeCell ref="C28:E28"/>
    <mergeCell ref="C29:E29"/>
    <mergeCell ref="G35:I35"/>
    <mergeCell ref="G20:K20"/>
    <mergeCell ref="G21:I21"/>
    <mergeCell ref="H25:L25"/>
    <mergeCell ref="G34:I34"/>
    <mergeCell ref="G8:K8"/>
    <mergeCell ref="G9:I9"/>
    <mergeCell ref="H17:H18"/>
    <mergeCell ref="J17:J18"/>
    <mergeCell ref="B1:K1"/>
    <mergeCell ref="H5:H6"/>
    <mergeCell ref="J5:J6"/>
  </mergeCells>
  <conditionalFormatting sqref="H27:L31">
    <cfRule type="expression" dxfId="17" priority="2861">
      <formula>IF(H27&gt;=$J$35,TRUE,FALSE)</formula>
    </cfRule>
    <cfRule type="expression" dxfId="16" priority="2862">
      <formula>IF(H27&lt;$J$34,TRUE,FALSE)</formula>
    </cfRule>
  </conditionalFormatting>
  <pageMargins left="0.7" right="0.7" top="0.75" bottom="0.75" header="0.3" footer="0.3"/>
  <pageSetup scale="52" fitToHeight="0"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4" tint="0.39997558519241921"/>
  </sheetPr>
  <dimension ref="B2:H31"/>
  <sheetViews>
    <sheetView zoomScale="115" zoomScaleNormal="115" workbookViewId="0"/>
  </sheetViews>
  <sheetFormatPr defaultRowHeight="14.25" x14ac:dyDescent="0.45"/>
  <cols>
    <col min="2" max="2" width="17.265625" customWidth="1"/>
    <col min="3" max="3" width="18.73046875" bestFit="1" customWidth="1"/>
    <col min="4" max="4" width="25.86328125" hidden="1" customWidth="1"/>
    <col min="5" max="5" width="18.73046875" bestFit="1" customWidth="1"/>
    <col min="6" max="6" width="21.73046875" customWidth="1"/>
    <col min="8" max="8" width="102" customWidth="1"/>
  </cols>
  <sheetData>
    <row r="2" spans="2:8" x14ac:dyDescent="0.45">
      <c r="B2" s="334" t="s">
        <v>629</v>
      </c>
      <c r="C2" s="335"/>
      <c r="D2" s="335"/>
      <c r="E2" s="335"/>
      <c r="F2" s="335"/>
    </row>
    <row r="3" spans="2:8" ht="104.25" customHeight="1" x14ac:dyDescent="0.45">
      <c r="B3" s="332" t="s">
        <v>813</v>
      </c>
      <c r="C3" s="333"/>
      <c r="D3" s="333"/>
      <c r="E3" s="333"/>
      <c r="F3" s="333"/>
    </row>
    <row r="6" spans="2:8" x14ac:dyDescent="0.45">
      <c r="B6" s="29" t="s">
        <v>153</v>
      </c>
      <c r="C6" s="29" t="s">
        <v>630</v>
      </c>
      <c r="D6" s="29" t="s">
        <v>156</v>
      </c>
      <c r="E6" s="29" t="s">
        <v>64</v>
      </c>
      <c r="F6" s="29" t="s">
        <v>797</v>
      </c>
    </row>
    <row r="7" spans="2:8" x14ac:dyDescent="0.45">
      <c r="B7" s="29">
        <v>1</v>
      </c>
      <c r="C7" s="29">
        <v>1</v>
      </c>
      <c r="D7" s="29" t="str">
        <f>tblHITWDI[[#This Row],[Maturity Value]]&amp;tblHITWDI[[#This Row],[HIT Quintile]]</f>
        <v>11</v>
      </c>
      <c r="E7" s="29">
        <v>4</v>
      </c>
      <c r="F7" s="29" t="str">
        <f>_xlfn.XLOOKUP(tblHITWDI[[#This Row],[Likelihood Score]],tblLikelihood[Value],tblLikelihood[Likelihood])</f>
        <v>Common</v>
      </c>
    </row>
    <row r="8" spans="2:8" x14ac:dyDescent="0.45">
      <c r="B8" s="29">
        <v>1</v>
      </c>
      <c r="C8" s="29">
        <v>2</v>
      </c>
      <c r="D8" s="29" t="str">
        <f>tblHITWDI[[#This Row],[Maturity Value]]&amp;tblHITWDI[[#This Row],[HIT Quintile]]</f>
        <v>12</v>
      </c>
      <c r="E8" s="29">
        <v>4</v>
      </c>
      <c r="F8" s="29" t="str">
        <f>_xlfn.XLOOKUP(tblHITWDI[[#This Row],[Likelihood Score]],tblLikelihood[Value],tblLikelihood[Likelihood])</f>
        <v>Common</v>
      </c>
    </row>
    <row r="9" spans="2:8" x14ac:dyDescent="0.45">
      <c r="B9" s="29">
        <v>1</v>
      </c>
      <c r="C9" s="29">
        <v>3</v>
      </c>
      <c r="D9" s="29" t="str">
        <f>tblHITWDI[[#This Row],[Maturity Value]]&amp;tblHITWDI[[#This Row],[HIT Quintile]]</f>
        <v>13</v>
      </c>
      <c r="E9" s="29">
        <v>5</v>
      </c>
      <c r="F9" s="29" t="str">
        <f>_xlfn.XLOOKUP(tblHITWDI[[#This Row],[Likelihood Score]],tblLikelihood[Value],tblLikelihood[Likelihood])</f>
        <v>Continuous</v>
      </c>
    </row>
    <row r="10" spans="2:8" x14ac:dyDescent="0.45">
      <c r="B10" s="29">
        <v>1</v>
      </c>
      <c r="C10" s="29">
        <v>4</v>
      </c>
      <c r="D10" s="29" t="str">
        <f>tblHITWDI[[#This Row],[Maturity Value]]&amp;tblHITWDI[[#This Row],[HIT Quintile]]</f>
        <v>14</v>
      </c>
      <c r="E10" s="29">
        <v>5</v>
      </c>
      <c r="F10" s="29" t="str">
        <f>_xlfn.XLOOKUP(tblHITWDI[[#This Row],[Likelihood Score]],tblLikelihood[Value],tblLikelihood[Likelihood])</f>
        <v>Continuous</v>
      </c>
    </row>
    <row r="11" spans="2:8" x14ac:dyDescent="0.45">
      <c r="B11" s="29">
        <v>1</v>
      </c>
      <c r="C11" s="29">
        <v>5</v>
      </c>
      <c r="D11" s="29" t="str">
        <f>tblHITWDI[[#This Row],[Maturity Value]]&amp;tblHITWDI[[#This Row],[HIT Quintile]]</f>
        <v>15</v>
      </c>
      <c r="E11" s="29">
        <v>5</v>
      </c>
      <c r="F11" s="29" t="str">
        <f>_xlfn.XLOOKUP(tblHITWDI[[#This Row],[Likelihood Score]],tblLikelihood[Value],tblLikelihood[Likelihood])</f>
        <v>Continuous</v>
      </c>
    </row>
    <row r="12" spans="2:8" x14ac:dyDescent="0.45">
      <c r="B12" s="29">
        <v>2</v>
      </c>
      <c r="C12" s="29">
        <v>1</v>
      </c>
      <c r="D12" s="29" t="str">
        <f>tblHITWDI[[#This Row],[Maturity Value]]&amp;tblHITWDI[[#This Row],[HIT Quintile]]</f>
        <v>21</v>
      </c>
      <c r="E12" s="29">
        <v>3</v>
      </c>
      <c r="F12" s="29" t="str">
        <f>_xlfn.XLOOKUP(tblHITWDI[[#This Row],[Likelihood Score]],tblLikelihood[Value],tblLikelihood[Likelihood])</f>
        <v>Foreseeable, expected</v>
      </c>
    </row>
    <row r="13" spans="2:8" ht="14.65" thickBot="1" x14ac:dyDescent="0.5">
      <c r="B13" s="29">
        <v>2</v>
      </c>
      <c r="C13" s="29">
        <v>2</v>
      </c>
      <c r="D13" s="29" t="str">
        <f>tblHITWDI[[#This Row],[Maturity Value]]&amp;tblHITWDI[[#This Row],[HIT Quintile]]</f>
        <v>22</v>
      </c>
      <c r="E13" s="29">
        <v>4</v>
      </c>
      <c r="F13" s="29" t="str">
        <f>_xlfn.XLOOKUP(tblHITWDI[[#This Row],[Likelihood Score]],tblLikelihood[Value],tblLikelihood[Likelihood])</f>
        <v>Common</v>
      </c>
      <c r="H13" s="73" t="s">
        <v>154</v>
      </c>
    </row>
    <row r="14" spans="2:8" ht="14.65" thickTop="1" x14ac:dyDescent="0.45">
      <c r="B14" s="29">
        <v>2</v>
      </c>
      <c r="C14" s="29">
        <v>3</v>
      </c>
      <c r="D14" s="29" t="str">
        <f>tblHITWDI[[#This Row],[Maturity Value]]&amp;tblHITWDI[[#This Row],[HIT Quintile]]</f>
        <v>23</v>
      </c>
      <c r="E14" s="29">
        <v>4</v>
      </c>
      <c r="F14" s="29" t="str">
        <f>_xlfn.XLOOKUP(tblHITWDI[[#This Row],[Likelihood Score]],tblLikelihood[Value],tblLikelihood[Likelihood])</f>
        <v>Common</v>
      </c>
      <c r="H14" s="76" t="str" cm="1">
        <f t="array" ref="H14:H18">_xlfn.UNIQUE(tblMaturity[Maturiy Disp])</f>
        <v>1 - Safeguard is not implemented or is inconsistently implemented.</v>
      </c>
    </row>
    <row r="15" spans="2:8" x14ac:dyDescent="0.45">
      <c r="B15" s="29">
        <v>2</v>
      </c>
      <c r="C15" s="29">
        <v>4</v>
      </c>
      <c r="D15" s="29" t="str">
        <f>tblHITWDI[[#This Row],[Maturity Value]]&amp;tblHITWDI[[#This Row],[HIT Quintile]]</f>
        <v>24</v>
      </c>
      <c r="E15" s="29">
        <v>4</v>
      </c>
      <c r="F15" s="29" t="str">
        <f>_xlfn.XLOOKUP(tblHITWDI[[#This Row],[Likelihood Score]],tblLikelihood[Value],tblLikelihood[Likelihood])</f>
        <v>Common</v>
      </c>
      <c r="H15" s="75" t="str">
        <v>2 - Safeguard is implemented fully on some assets or partially on all assets.</v>
      </c>
    </row>
    <row r="16" spans="2:8" x14ac:dyDescent="0.45">
      <c r="B16" s="29">
        <v>2</v>
      </c>
      <c r="C16" s="29">
        <v>5</v>
      </c>
      <c r="D16" s="29" t="str">
        <f>tblHITWDI[[#This Row],[Maturity Value]]&amp;tblHITWDI[[#This Row],[HIT Quintile]]</f>
        <v>25</v>
      </c>
      <c r="E16" s="29">
        <v>5</v>
      </c>
      <c r="F16" s="29" t="str">
        <f>_xlfn.XLOOKUP(tblHITWDI[[#This Row],[Likelihood Score]],tblLikelihood[Value],tblLikelihood[Likelihood])</f>
        <v>Continuous</v>
      </c>
      <c r="H16" s="74" t="str">
        <v>3 - Safeguard is implemented on all assets.</v>
      </c>
    </row>
    <row r="17" spans="2:8" x14ac:dyDescent="0.45">
      <c r="B17" s="29">
        <v>3</v>
      </c>
      <c r="C17" s="29">
        <v>1</v>
      </c>
      <c r="D17" s="29" t="str">
        <f>tblHITWDI[[#This Row],[Maturity Value]]&amp;tblHITWDI[[#This Row],[HIT Quintile]]</f>
        <v>31</v>
      </c>
      <c r="E17" s="29">
        <v>2</v>
      </c>
      <c r="F17" s="29" t="str">
        <f>_xlfn.XLOOKUP(tblHITWDI[[#This Row],[Likelihood Score]],tblLikelihood[Value],tblLikelihood[Likelihood])</f>
        <v>Foreseeable, not expected</v>
      </c>
      <c r="H17" s="75" t="str">
        <v>4 - Safeguard is tested and inconsistencies are corrected.</v>
      </c>
    </row>
    <row r="18" spans="2:8" x14ac:dyDescent="0.45">
      <c r="B18" s="29">
        <v>3</v>
      </c>
      <c r="C18" s="29">
        <v>2</v>
      </c>
      <c r="D18" s="29" t="str">
        <f>tblHITWDI[[#This Row],[Maturity Value]]&amp;tblHITWDI[[#This Row],[HIT Quintile]]</f>
        <v>32</v>
      </c>
      <c r="E18" s="29">
        <v>3</v>
      </c>
      <c r="F18" s="29" t="str">
        <f>_xlfn.XLOOKUP(tblHITWDI[[#This Row],[Likelihood Score]],tblLikelihood[Value],tblLikelihood[Likelihood])</f>
        <v>Foreseeable, expected</v>
      </c>
      <c r="H18" s="74" t="str">
        <v>5 - Safeguard has mechanisms that ensure consistent implementation over time.</v>
      </c>
    </row>
    <row r="19" spans="2:8" x14ac:dyDescent="0.45">
      <c r="B19" s="29">
        <v>3</v>
      </c>
      <c r="C19" s="29">
        <v>3</v>
      </c>
      <c r="D19" s="29" t="str">
        <f>tblHITWDI[[#This Row],[Maturity Value]]&amp;tblHITWDI[[#This Row],[HIT Quintile]]</f>
        <v>33</v>
      </c>
      <c r="E19" s="29">
        <v>3</v>
      </c>
      <c r="F19" s="29" t="str">
        <f>_xlfn.XLOOKUP(tblHITWDI[[#This Row],[Likelihood Score]],tblLikelihood[Value],tblLikelihood[Likelihood])</f>
        <v>Foreseeable, expected</v>
      </c>
    </row>
    <row r="20" spans="2:8" ht="14.65" thickBot="1" x14ac:dyDescent="0.5">
      <c r="B20" s="29">
        <v>3</v>
      </c>
      <c r="C20" s="29">
        <v>4</v>
      </c>
      <c r="D20" s="29" t="str">
        <f>tblHITWDI[[#This Row],[Maturity Value]]&amp;tblHITWDI[[#This Row],[HIT Quintile]]</f>
        <v>34</v>
      </c>
      <c r="E20" s="29">
        <v>3</v>
      </c>
      <c r="F20" s="29" t="str">
        <f>_xlfn.XLOOKUP(tblHITWDI[[#This Row],[Likelihood Score]],tblLikelihood[Value],tblLikelihood[Likelihood])</f>
        <v>Foreseeable, expected</v>
      </c>
      <c r="H20" s="73" t="s">
        <v>155</v>
      </c>
    </row>
    <row r="21" spans="2:8" ht="14.65" thickTop="1" x14ac:dyDescent="0.45">
      <c r="B21" s="29">
        <v>3</v>
      </c>
      <c r="C21" s="29">
        <v>5</v>
      </c>
      <c r="D21" s="29" t="str">
        <f>tblHITWDI[[#This Row],[Maturity Value]]&amp;tblHITWDI[[#This Row],[HIT Quintile]]</f>
        <v>35</v>
      </c>
      <c r="E21" s="29">
        <v>4</v>
      </c>
      <c r="F21" s="29" t="str">
        <f>_xlfn.XLOOKUP(tblHITWDI[[#This Row],[Likelihood Score]],tblLikelihood[Value],tblLikelihood[Likelihood])</f>
        <v>Common</v>
      </c>
      <c r="H21" s="76" t="str" cm="1">
        <f t="array" ref="H21:H25">_xlfn.UNIQUE(tblLikelihood[Likelihood Disp])</f>
        <v>1 - Not Foreseeable</v>
      </c>
    </row>
    <row r="22" spans="2:8" x14ac:dyDescent="0.45">
      <c r="B22" s="29">
        <v>4</v>
      </c>
      <c r="C22" s="29">
        <v>1</v>
      </c>
      <c r="D22" s="29" t="str">
        <f>tblHITWDI[[#This Row],[Maturity Value]]&amp;tblHITWDI[[#This Row],[HIT Quintile]]</f>
        <v>41</v>
      </c>
      <c r="E22" s="29">
        <v>1</v>
      </c>
      <c r="F22" s="29" t="str">
        <f>_xlfn.XLOOKUP(tblHITWDI[[#This Row],[Likelihood Score]],tblLikelihood[Value],tblLikelihood[Likelihood])</f>
        <v>Not Foreseeable</v>
      </c>
      <c r="H22" s="75" t="str">
        <v>2 - Foreseeable, not expected</v>
      </c>
    </row>
    <row r="23" spans="2:8" x14ac:dyDescent="0.45">
      <c r="B23" s="29">
        <v>4</v>
      </c>
      <c r="C23" s="29">
        <v>2</v>
      </c>
      <c r="D23" s="29" t="str">
        <f>tblHITWDI[[#This Row],[Maturity Value]]&amp;tblHITWDI[[#This Row],[HIT Quintile]]</f>
        <v>42</v>
      </c>
      <c r="E23" s="29">
        <v>2</v>
      </c>
      <c r="F23" s="29" t="str">
        <f>_xlfn.XLOOKUP(tblHITWDI[[#This Row],[Likelihood Score]],tblLikelihood[Value],tblLikelihood[Likelihood])</f>
        <v>Foreseeable, not expected</v>
      </c>
      <c r="H23" s="74" t="str">
        <v>3 - Foreseeable, expected</v>
      </c>
    </row>
    <row r="24" spans="2:8" x14ac:dyDescent="0.45">
      <c r="B24" s="29">
        <v>4</v>
      </c>
      <c r="C24" s="29">
        <v>3</v>
      </c>
      <c r="D24" s="29" t="str">
        <f>tblHITWDI[[#This Row],[Maturity Value]]&amp;tblHITWDI[[#This Row],[HIT Quintile]]</f>
        <v>43</v>
      </c>
      <c r="E24" s="29">
        <v>2</v>
      </c>
      <c r="F24" s="29" t="str">
        <f>_xlfn.XLOOKUP(tblHITWDI[[#This Row],[Likelihood Score]],tblLikelihood[Value],tblLikelihood[Likelihood])</f>
        <v>Foreseeable, not expected</v>
      </c>
      <c r="H24" s="75" t="str">
        <v>4 - Common</v>
      </c>
    </row>
    <row r="25" spans="2:8" x14ac:dyDescent="0.45">
      <c r="B25" s="29">
        <v>4</v>
      </c>
      <c r="C25" s="29">
        <v>4</v>
      </c>
      <c r="D25" s="29" t="str">
        <f>tblHITWDI[[#This Row],[Maturity Value]]&amp;tblHITWDI[[#This Row],[HIT Quintile]]</f>
        <v>44</v>
      </c>
      <c r="E25" s="29">
        <v>2</v>
      </c>
      <c r="F25" s="29" t="str">
        <f>_xlfn.XLOOKUP(tblHITWDI[[#This Row],[Likelihood Score]],tblLikelihood[Value],tblLikelihood[Likelihood])</f>
        <v>Foreseeable, not expected</v>
      </c>
      <c r="H25" s="74" t="str">
        <v>5 - Continuous</v>
      </c>
    </row>
    <row r="26" spans="2:8" x14ac:dyDescent="0.45">
      <c r="B26" s="29">
        <v>4</v>
      </c>
      <c r="C26" s="29">
        <v>5</v>
      </c>
      <c r="D26" s="29" t="str">
        <f>tblHITWDI[[#This Row],[Maturity Value]]&amp;tblHITWDI[[#This Row],[HIT Quintile]]</f>
        <v>45</v>
      </c>
      <c r="E26" s="29">
        <v>3</v>
      </c>
      <c r="F26" s="29" t="str">
        <f>_xlfn.XLOOKUP(tblHITWDI[[#This Row],[Likelihood Score]],tblLikelihood[Value],tblLikelihood[Likelihood])</f>
        <v>Foreseeable, expected</v>
      </c>
    </row>
    <row r="27" spans="2:8" x14ac:dyDescent="0.45">
      <c r="B27" s="29">
        <v>5</v>
      </c>
      <c r="C27" s="29">
        <v>1</v>
      </c>
      <c r="D27" s="29" t="str">
        <f>tblHITWDI[[#This Row],[Maturity Value]]&amp;tblHITWDI[[#This Row],[HIT Quintile]]</f>
        <v>51</v>
      </c>
      <c r="E27" s="29">
        <v>1</v>
      </c>
      <c r="F27" s="29" t="str">
        <f>_xlfn.XLOOKUP(tblHITWDI[[#This Row],[Likelihood Score]],tblLikelihood[Value],tblLikelihood[Likelihood])</f>
        <v>Not Foreseeable</v>
      </c>
    </row>
    <row r="28" spans="2:8" x14ac:dyDescent="0.45">
      <c r="B28" s="29">
        <v>5</v>
      </c>
      <c r="C28" s="29">
        <v>2</v>
      </c>
      <c r="D28" s="29" t="str">
        <f>tblHITWDI[[#This Row],[Maturity Value]]&amp;tblHITWDI[[#This Row],[HIT Quintile]]</f>
        <v>52</v>
      </c>
      <c r="E28" s="29">
        <v>1</v>
      </c>
      <c r="F28" s="29" t="str">
        <f>_xlfn.XLOOKUP(tblHITWDI[[#This Row],[Likelihood Score]],tblLikelihood[Value],tblLikelihood[Likelihood])</f>
        <v>Not Foreseeable</v>
      </c>
    </row>
    <row r="29" spans="2:8" x14ac:dyDescent="0.45">
      <c r="B29" s="29">
        <v>5</v>
      </c>
      <c r="C29" s="29">
        <v>3</v>
      </c>
      <c r="D29" s="29" t="str">
        <f>tblHITWDI[[#This Row],[Maturity Value]]&amp;tblHITWDI[[#This Row],[HIT Quintile]]</f>
        <v>53</v>
      </c>
      <c r="E29" s="29">
        <v>1</v>
      </c>
      <c r="F29" s="29" t="str">
        <f>_xlfn.XLOOKUP(tblHITWDI[[#This Row],[Likelihood Score]],tblLikelihood[Value],tblLikelihood[Likelihood])</f>
        <v>Not Foreseeable</v>
      </c>
    </row>
    <row r="30" spans="2:8" x14ac:dyDescent="0.45">
      <c r="B30" s="29">
        <v>5</v>
      </c>
      <c r="C30" s="29">
        <v>4</v>
      </c>
      <c r="D30" s="29" t="str">
        <f>tblHITWDI[[#This Row],[Maturity Value]]&amp;tblHITWDI[[#This Row],[HIT Quintile]]</f>
        <v>54</v>
      </c>
      <c r="E30" s="29">
        <v>2</v>
      </c>
      <c r="F30" s="29" t="str">
        <f>_xlfn.XLOOKUP(tblHITWDI[[#This Row],[Likelihood Score]],tblLikelihood[Value],tblLikelihood[Likelihood])</f>
        <v>Foreseeable, not expected</v>
      </c>
    </row>
    <row r="31" spans="2:8" x14ac:dyDescent="0.45">
      <c r="B31" s="29">
        <v>5</v>
      </c>
      <c r="C31" s="29">
        <v>5</v>
      </c>
      <c r="D31" s="29" t="str">
        <f>tblHITWDI[[#This Row],[Maturity Value]]&amp;tblHITWDI[[#This Row],[HIT Quintile]]</f>
        <v>55</v>
      </c>
      <c r="E31" s="29">
        <v>2</v>
      </c>
      <c r="F31" s="29" t="str">
        <f>_xlfn.XLOOKUP(tblHITWDI[[#This Row],[Likelihood Score]],tblLikelihood[Value],tblLikelihood[Likelihood])</f>
        <v>Foreseeable, not expected</v>
      </c>
    </row>
  </sheetData>
  <mergeCells count="2">
    <mergeCell ref="B3:F3"/>
    <mergeCell ref="B2:F2"/>
  </mergeCell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4" tint="0.39997558519241921"/>
    <pageSetUpPr fitToPage="1"/>
  </sheetPr>
  <dimension ref="B3:J154"/>
  <sheetViews>
    <sheetView zoomScale="130" zoomScaleNormal="130" workbookViewId="0">
      <selection activeCell="E16" sqref="E16"/>
    </sheetView>
  </sheetViews>
  <sheetFormatPr defaultRowHeight="14.25" x14ac:dyDescent="0.45"/>
  <cols>
    <col min="2" max="2" width="33.265625" customWidth="1"/>
    <col min="3" max="3" width="17.1328125" customWidth="1"/>
    <col min="4" max="4" width="20.265625" customWidth="1"/>
    <col min="5" max="5" width="9.265625" bestFit="1" customWidth="1"/>
    <col min="6" max="6" width="14.73046875" bestFit="1" customWidth="1"/>
    <col min="7" max="8" width="14.73046875" customWidth="1"/>
  </cols>
  <sheetData>
    <row r="3" spans="2:9" x14ac:dyDescent="0.45">
      <c r="I3" t="str">
        <f>_xlfn.CONCAT("Percent of Incidents in ",HIT!$B$4," as of ",TEXT($D$4,"M/D/YYYY"))</f>
        <v>Percent of Incidents in Banks and Credit Unions as of 7/29/2021</v>
      </c>
    </row>
    <row r="4" spans="2:9" x14ac:dyDescent="0.45">
      <c r="B4" s="61" t="s">
        <v>1289</v>
      </c>
      <c r="C4" s="61">
        <v>126</v>
      </c>
      <c r="D4" s="62">
        <v>44406</v>
      </c>
      <c r="E4" s="62"/>
    </row>
    <row r="5" spans="2:9" x14ac:dyDescent="0.45">
      <c r="B5" t="s">
        <v>57</v>
      </c>
      <c r="C5" t="s">
        <v>636</v>
      </c>
      <c r="D5" t="s">
        <v>634</v>
      </c>
      <c r="E5" t="s">
        <v>803</v>
      </c>
      <c r="F5" t="s">
        <v>625</v>
      </c>
    </row>
    <row r="6" spans="2:9" x14ac:dyDescent="0.45">
      <c r="B6" t="s">
        <v>611</v>
      </c>
      <c r="C6">
        <v>67</v>
      </c>
      <c r="D6" s="35">
        <f>tblHIT[[#This Row],[Number of Incidents]]/$C$4</f>
        <v>0.53174603174603174</v>
      </c>
      <c r="E6" s="57">
        <f>ROUNDUP(tblHIT[[#This Row],[Percentage]]*5,0)</f>
        <v>3</v>
      </c>
      <c r="F6" s="57">
        <f>AVERAGEIFS(tblRisk[Risk Score],tblRisk[Threat Cluster],tblHIT[[#This Row],[Threat Cluster]])</f>
        <v>5.5384615384615383</v>
      </c>
      <c r="G6" s="57"/>
      <c r="H6" s="57"/>
    </row>
    <row r="7" spans="2:9" x14ac:dyDescent="0.45">
      <c r="B7" t="s">
        <v>635</v>
      </c>
      <c r="C7">
        <v>56</v>
      </c>
      <c r="D7" s="35">
        <f>tblHIT[[#This Row],[Number of Incidents]]/$C$4</f>
        <v>0.44444444444444442</v>
      </c>
      <c r="E7" s="57">
        <f>ROUNDUP(tblHIT[[#This Row],[Percentage]]*5,0)</f>
        <v>3</v>
      </c>
      <c r="F7" s="57" t="e">
        <f>AVERAGEIFS(tblRisk[Risk Score],tblRisk[Threat Cluster],tblHIT[[#This Row],[Threat Cluster]])</f>
        <v>#DIV/0!</v>
      </c>
      <c r="G7" s="57"/>
      <c r="H7" s="57"/>
    </row>
    <row r="8" spans="2:9" x14ac:dyDescent="0.45">
      <c r="B8" t="s">
        <v>35</v>
      </c>
      <c r="C8">
        <v>50</v>
      </c>
      <c r="D8" s="35">
        <f>tblHIT[[#This Row],[Number of Incidents]]/$C$4</f>
        <v>0.3968253968253968</v>
      </c>
      <c r="E8" s="57">
        <f>ROUNDUP(tblHIT[[#This Row],[Percentage]]*5,0)</f>
        <v>2</v>
      </c>
      <c r="F8" s="57">
        <f>AVERAGEIFS(tblRisk[Risk Score],tblRisk[Threat Cluster],tblHIT[[#This Row],[Threat Cluster]])</f>
        <v>6</v>
      </c>
      <c r="G8" s="57"/>
      <c r="H8" s="57"/>
    </row>
    <row r="9" spans="2:9" x14ac:dyDescent="0.45">
      <c r="B9" t="s">
        <v>33</v>
      </c>
      <c r="C9">
        <v>40</v>
      </c>
      <c r="D9" s="35">
        <f>tblHIT[[#This Row],[Number of Incidents]]/$C$4</f>
        <v>0.31746031746031744</v>
      </c>
      <c r="E9" s="57">
        <f>ROUNDUP(tblHIT[[#This Row],[Percentage]]*5,0)</f>
        <v>2</v>
      </c>
      <c r="F9" s="57">
        <f>AVERAGEIFS(tblRisk[Risk Score],tblRisk[Threat Cluster],tblHIT[[#This Row],[Threat Cluster]])</f>
        <v>5.8181818181818183</v>
      </c>
      <c r="G9" s="57"/>
      <c r="H9" s="57"/>
    </row>
    <row r="10" spans="2:9" x14ac:dyDescent="0.45">
      <c r="B10" t="s">
        <v>34</v>
      </c>
      <c r="C10">
        <v>32</v>
      </c>
      <c r="D10" s="35">
        <f>tblHIT[[#This Row],[Number of Incidents]]/$C$4</f>
        <v>0.25396825396825395</v>
      </c>
      <c r="E10" s="57">
        <f>ROUNDUP(tblHIT[[#This Row],[Percentage]]*5,0)</f>
        <v>2</v>
      </c>
      <c r="F10" s="57">
        <f>AVERAGEIFS(tblRisk[Risk Score],tblRisk[Threat Cluster],tblHIT[[#This Row],[Threat Cluster]])</f>
        <v>4.4117647058823533</v>
      </c>
      <c r="G10" s="57"/>
      <c r="H10" s="57"/>
    </row>
    <row r="11" spans="2:9" x14ac:dyDescent="0.45">
      <c r="B11" t="s">
        <v>30</v>
      </c>
      <c r="C11">
        <v>27</v>
      </c>
      <c r="D11" s="35">
        <f>tblHIT[[#This Row],[Number of Incidents]]/$C$4</f>
        <v>0.21428571428571427</v>
      </c>
      <c r="E11" s="57">
        <f>ROUNDUP(tblHIT[[#This Row],[Percentage]]*5,0)</f>
        <v>2</v>
      </c>
      <c r="F11" s="57">
        <f>AVERAGEIFS(tblRisk[Risk Score],tblRisk[Threat Cluster],tblHIT[[#This Row],[Threat Cluster]])</f>
        <v>6.7608695652173916</v>
      </c>
      <c r="G11" s="57"/>
      <c r="H11" s="57"/>
    </row>
    <row r="12" spans="2:9" x14ac:dyDescent="0.45">
      <c r="B12" t="s">
        <v>36</v>
      </c>
      <c r="C12">
        <v>15</v>
      </c>
      <c r="D12" s="35">
        <f>tblHIT[[#This Row],[Number of Incidents]]/$C$4</f>
        <v>0.11904761904761904</v>
      </c>
      <c r="E12" s="57">
        <f>ROUNDUP(tblHIT[[#This Row],[Percentage]]*5,0)</f>
        <v>1</v>
      </c>
      <c r="F12" s="57">
        <f>AVERAGEIFS(tblRisk[Risk Score],tblRisk[Threat Cluster],tblHIT[[#This Row],[Threat Cluster]])</f>
        <v>2</v>
      </c>
      <c r="G12" s="57"/>
      <c r="H12" s="57"/>
    </row>
    <row r="13" spans="2:9" x14ac:dyDescent="0.45">
      <c r="B13" t="s">
        <v>31</v>
      </c>
      <c r="C13">
        <v>9</v>
      </c>
      <c r="D13" s="35">
        <f>tblHIT[[#This Row],[Number of Incidents]]/$C$4</f>
        <v>7.1428571428571425E-2</v>
      </c>
      <c r="E13" s="57">
        <f>ROUNDUP(tblHIT[[#This Row],[Percentage]]*5,0)</f>
        <v>1</v>
      </c>
      <c r="F13" s="57">
        <f>AVERAGEIFS(tblRisk[Risk Score],tblRisk[Threat Cluster],tblHIT[[#This Row],[Threat Cluster]])</f>
        <v>4.7894736842105265</v>
      </c>
      <c r="G13" s="57"/>
      <c r="H13" s="57"/>
    </row>
    <row r="14" spans="2:9" x14ac:dyDescent="0.45">
      <c r="B14" t="s">
        <v>32</v>
      </c>
      <c r="C14">
        <v>8</v>
      </c>
      <c r="D14" s="35">
        <f>tblHIT[[#This Row],[Number of Incidents]]/$C$4</f>
        <v>6.3492063492063489E-2</v>
      </c>
      <c r="E14" s="57">
        <f>ROUNDUP(tblHIT[[#This Row],[Percentage]]*5,0)</f>
        <v>1</v>
      </c>
      <c r="F14" s="57">
        <f>AVERAGEIFS(tblRisk[Risk Score],tblRisk[Threat Cluster],tblHIT[[#This Row],[Threat Cluster]])</f>
        <v>2.5</v>
      </c>
      <c r="G14" s="57"/>
      <c r="H14" s="57"/>
    </row>
    <row r="15" spans="2:9" x14ac:dyDescent="0.45">
      <c r="B15" t="s">
        <v>37</v>
      </c>
      <c r="C15">
        <v>0</v>
      </c>
      <c r="D15" s="35">
        <f>tblHIT[[#This Row],[Number of Incidents]]/$C$4</f>
        <v>0</v>
      </c>
      <c r="E15" s="57">
        <v>1</v>
      </c>
      <c r="F15" s="57">
        <f>AVERAGEIFS(tblRisk[Risk Score],tblRisk[Threat Cluster],tblHIT[[#This Row],[Threat Cluster]])</f>
        <v>3.75</v>
      </c>
    </row>
    <row r="16" spans="2:9" x14ac:dyDescent="0.45">
      <c r="B16" s="177"/>
      <c r="C16" s="177"/>
      <c r="D16" s="177"/>
      <c r="E16" s="177"/>
      <c r="F16" s="177"/>
    </row>
    <row r="17" spans="2:10" ht="14.65" customHeight="1" x14ac:dyDescent="0.45">
      <c r="B17" s="177"/>
      <c r="C17" s="177"/>
      <c r="D17" s="177"/>
      <c r="E17" s="177"/>
      <c r="F17" s="177"/>
    </row>
    <row r="18" spans="2:10" x14ac:dyDescent="0.45">
      <c r="B18" s="177"/>
      <c r="C18" s="177"/>
      <c r="D18" s="177"/>
      <c r="E18" s="177"/>
      <c r="F18" s="177"/>
    </row>
    <row r="19" spans="2:10" x14ac:dyDescent="0.45">
      <c r="B19" s="177"/>
      <c r="C19" s="177"/>
      <c r="D19" s="177"/>
      <c r="E19" s="177"/>
      <c r="F19" s="177"/>
      <c r="G19" s="40"/>
      <c r="H19" s="40"/>
    </row>
    <row r="20" spans="2:10" x14ac:dyDescent="0.45">
      <c r="B20" s="177"/>
      <c r="C20" s="177"/>
      <c r="D20" s="177"/>
      <c r="E20" s="177"/>
      <c r="F20" s="177"/>
      <c r="G20" s="40"/>
      <c r="H20" s="40"/>
      <c r="J20" t="str">
        <f>_xlfn.CONCAT("Average Risk compared to ",HIT!$B$4," Threat Clusters as of ",TEXT($D$4,"M/D/YYYY"))</f>
        <v>Average Risk compared to Banks and Credit Unions Threat Clusters as of 7/29/2021</v>
      </c>
    </row>
    <row r="21" spans="2:10" x14ac:dyDescent="0.45">
      <c r="B21" s="177"/>
      <c r="C21" s="177"/>
      <c r="D21" s="177"/>
      <c r="E21" s="177"/>
      <c r="F21" s="177"/>
      <c r="G21" s="40"/>
      <c r="H21" s="40"/>
    </row>
    <row r="22" spans="2:10" x14ac:dyDescent="0.45">
      <c r="B22" s="177"/>
      <c r="C22" s="177"/>
      <c r="D22" s="177"/>
      <c r="E22" s="177"/>
      <c r="F22" s="177"/>
      <c r="G22" s="40"/>
      <c r="H22" s="40"/>
    </row>
    <row r="23" spans="2:10" x14ac:dyDescent="0.45">
      <c r="B23" s="177"/>
      <c r="C23" s="177"/>
      <c r="D23" s="177"/>
      <c r="E23" s="177"/>
      <c r="F23" s="177"/>
      <c r="G23" s="40"/>
      <c r="H23" s="40"/>
    </row>
    <row r="24" spans="2:10" x14ac:dyDescent="0.45">
      <c r="B24" s="177"/>
      <c r="C24" s="177"/>
      <c r="D24" s="177"/>
      <c r="E24" s="177"/>
      <c r="F24" s="177"/>
      <c r="G24" s="40"/>
      <c r="H24" s="40"/>
    </row>
    <row r="25" spans="2:10" x14ac:dyDescent="0.45">
      <c r="B25" s="177"/>
      <c r="C25" s="177"/>
      <c r="D25" s="177"/>
      <c r="E25" s="177"/>
      <c r="F25" s="177"/>
      <c r="G25" s="40"/>
      <c r="H25" s="40"/>
    </row>
    <row r="26" spans="2:10" x14ac:dyDescent="0.45">
      <c r="D26" s="60"/>
      <c r="E26" s="60"/>
      <c r="G26" s="40"/>
      <c r="H26" s="40"/>
    </row>
    <row r="27" spans="2:10" x14ac:dyDescent="0.45">
      <c r="D27" s="60"/>
      <c r="E27" s="60"/>
      <c r="G27" s="40"/>
      <c r="H27" s="40"/>
    </row>
    <row r="28" spans="2:10" x14ac:dyDescent="0.45">
      <c r="D28" s="60"/>
      <c r="E28" s="60"/>
      <c r="G28" s="40"/>
    </row>
    <row r="29" spans="2:10" x14ac:dyDescent="0.45">
      <c r="D29" s="60"/>
      <c r="E29" s="60"/>
      <c r="G29" s="40"/>
    </row>
    <row r="30" spans="2:10" x14ac:dyDescent="0.45">
      <c r="D30" s="60"/>
      <c r="E30" s="60"/>
      <c r="G30" s="40"/>
    </row>
    <row r="31" spans="2:10" x14ac:dyDescent="0.45">
      <c r="D31" s="60"/>
      <c r="E31" s="60"/>
      <c r="G31" s="40"/>
    </row>
    <row r="32" spans="2:10" x14ac:dyDescent="0.45">
      <c r="D32" s="60"/>
      <c r="E32" s="60"/>
      <c r="G32" s="40"/>
    </row>
    <row r="33" spans="4:7" x14ac:dyDescent="0.45">
      <c r="D33" s="60"/>
      <c r="E33" s="60"/>
      <c r="G33" s="40"/>
    </row>
    <row r="34" spans="4:7" x14ac:dyDescent="0.45">
      <c r="D34" s="60"/>
      <c r="E34" s="60"/>
      <c r="G34" s="40"/>
    </row>
    <row r="35" spans="4:7" x14ac:dyDescent="0.45">
      <c r="D35" s="60"/>
      <c r="E35" s="60"/>
      <c r="G35" s="40"/>
    </row>
    <row r="36" spans="4:7" x14ac:dyDescent="0.45">
      <c r="D36" s="60"/>
      <c r="E36" s="60"/>
      <c r="G36" s="40"/>
    </row>
    <row r="37" spans="4:7" x14ac:dyDescent="0.45">
      <c r="D37" s="60"/>
      <c r="E37" s="60"/>
      <c r="G37" s="40"/>
    </row>
    <row r="38" spans="4:7" x14ac:dyDescent="0.45">
      <c r="D38" s="60"/>
      <c r="E38" s="60"/>
      <c r="G38" s="40"/>
    </row>
    <row r="39" spans="4:7" x14ac:dyDescent="0.45">
      <c r="D39" s="60"/>
      <c r="E39" s="60"/>
      <c r="G39" s="40"/>
    </row>
    <row r="40" spans="4:7" x14ac:dyDescent="0.45">
      <c r="D40" s="60"/>
      <c r="E40" s="60"/>
      <c r="G40" s="40"/>
    </row>
    <row r="41" spans="4:7" x14ac:dyDescent="0.45">
      <c r="D41" s="60"/>
      <c r="E41" s="60"/>
      <c r="G41" s="40"/>
    </row>
    <row r="42" spans="4:7" x14ac:dyDescent="0.45">
      <c r="D42" s="60"/>
      <c r="E42" s="60"/>
      <c r="G42" s="40"/>
    </row>
    <row r="43" spans="4:7" x14ac:dyDescent="0.45">
      <c r="D43" s="60"/>
      <c r="E43" s="60"/>
      <c r="G43" s="40"/>
    </row>
    <row r="44" spans="4:7" x14ac:dyDescent="0.45">
      <c r="D44" s="60"/>
      <c r="E44" s="60"/>
      <c r="G44" s="40"/>
    </row>
    <row r="45" spans="4:7" x14ac:dyDescent="0.45">
      <c r="D45" s="60"/>
      <c r="E45" s="60"/>
      <c r="G45" s="40"/>
    </row>
    <row r="46" spans="4:7" x14ac:dyDescent="0.45">
      <c r="D46" s="60"/>
      <c r="E46" s="60"/>
      <c r="G46" s="40"/>
    </row>
    <row r="47" spans="4:7" x14ac:dyDescent="0.45">
      <c r="D47" s="60"/>
      <c r="E47" s="60"/>
      <c r="G47" s="40"/>
    </row>
    <row r="48" spans="4:7" x14ac:dyDescent="0.45">
      <c r="D48" s="60"/>
      <c r="E48" s="60"/>
      <c r="G48" s="40"/>
    </row>
    <row r="49" spans="4:7" x14ac:dyDescent="0.45">
      <c r="D49" s="60"/>
      <c r="E49" s="60"/>
      <c r="G49" s="40"/>
    </row>
    <row r="50" spans="4:7" x14ac:dyDescent="0.45">
      <c r="D50" s="60"/>
      <c r="E50" s="60"/>
      <c r="G50" s="40"/>
    </row>
    <row r="51" spans="4:7" x14ac:dyDescent="0.45">
      <c r="D51" s="60"/>
      <c r="E51" s="60"/>
      <c r="G51" s="40"/>
    </row>
    <row r="52" spans="4:7" x14ac:dyDescent="0.45">
      <c r="D52" s="60"/>
      <c r="E52" s="60"/>
      <c r="G52" s="40"/>
    </row>
    <row r="53" spans="4:7" x14ac:dyDescent="0.45">
      <c r="D53" s="60"/>
      <c r="E53" s="60"/>
      <c r="G53" s="40"/>
    </row>
    <row r="54" spans="4:7" x14ac:dyDescent="0.45">
      <c r="D54" s="60"/>
      <c r="E54" s="60"/>
      <c r="G54" s="40"/>
    </row>
    <row r="55" spans="4:7" x14ac:dyDescent="0.45">
      <c r="D55" s="60"/>
      <c r="E55" s="60"/>
      <c r="G55" s="40"/>
    </row>
    <row r="56" spans="4:7" x14ac:dyDescent="0.45">
      <c r="D56" s="60"/>
      <c r="E56" s="60"/>
      <c r="G56" s="40"/>
    </row>
    <row r="57" spans="4:7" x14ac:dyDescent="0.45">
      <c r="D57" s="60"/>
      <c r="E57" s="60"/>
      <c r="G57" s="40"/>
    </row>
    <row r="58" spans="4:7" x14ac:dyDescent="0.45">
      <c r="D58" s="60"/>
      <c r="E58" s="60"/>
      <c r="G58" s="40"/>
    </row>
    <row r="59" spans="4:7" x14ac:dyDescent="0.45">
      <c r="D59" s="60"/>
      <c r="E59" s="60"/>
      <c r="G59" s="40"/>
    </row>
    <row r="60" spans="4:7" x14ac:dyDescent="0.45">
      <c r="D60" s="60"/>
      <c r="E60" s="60"/>
      <c r="G60" s="40"/>
    </row>
    <row r="61" spans="4:7" x14ac:dyDescent="0.45">
      <c r="D61" s="60"/>
      <c r="E61" s="60"/>
      <c r="G61" s="40"/>
    </row>
    <row r="62" spans="4:7" x14ac:dyDescent="0.45">
      <c r="D62" s="60"/>
      <c r="E62" s="60"/>
      <c r="G62" s="40"/>
    </row>
    <row r="63" spans="4:7" x14ac:dyDescent="0.45">
      <c r="D63" s="60"/>
      <c r="E63" s="60"/>
      <c r="G63" s="40"/>
    </row>
    <row r="64" spans="4:7" x14ac:dyDescent="0.45">
      <c r="D64" s="60"/>
      <c r="E64" s="60"/>
      <c r="G64" s="40"/>
    </row>
    <row r="65" spans="4:7" x14ac:dyDescent="0.45">
      <c r="D65" s="60"/>
      <c r="E65" s="60"/>
      <c r="G65" s="40"/>
    </row>
    <row r="66" spans="4:7" x14ac:dyDescent="0.45">
      <c r="D66" s="60"/>
      <c r="E66" s="60"/>
      <c r="G66" s="40"/>
    </row>
    <row r="67" spans="4:7" x14ac:dyDescent="0.45">
      <c r="D67" s="60"/>
      <c r="E67" s="60"/>
      <c r="G67" s="40"/>
    </row>
    <row r="68" spans="4:7" x14ac:dyDescent="0.45">
      <c r="D68" s="60"/>
      <c r="E68" s="60"/>
      <c r="G68" s="40"/>
    </row>
    <row r="69" spans="4:7" x14ac:dyDescent="0.45">
      <c r="D69" s="60"/>
      <c r="E69" s="60"/>
      <c r="G69" s="40"/>
    </row>
    <row r="70" spans="4:7" x14ac:dyDescent="0.45">
      <c r="D70" s="60"/>
      <c r="E70" s="60"/>
      <c r="G70" s="40"/>
    </row>
    <row r="71" spans="4:7" x14ac:dyDescent="0.45">
      <c r="D71" s="60"/>
      <c r="E71" s="60"/>
      <c r="G71" s="40"/>
    </row>
    <row r="72" spans="4:7" x14ac:dyDescent="0.45">
      <c r="D72" s="60"/>
      <c r="E72" s="60"/>
      <c r="G72" s="40"/>
    </row>
    <row r="73" spans="4:7" x14ac:dyDescent="0.45">
      <c r="D73" s="60"/>
      <c r="E73" s="60"/>
      <c r="G73" s="40"/>
    </row>
    <row r="74" spans="4:7" x14ac:dyDescent="0.45">
      <c r="D74" s="60"/>
      <c r="E74" s="60"/>
      <c r="G74" s="40"/>
    </row>
    <row r="75" spans="4:7" x14ac:dyDescent="0.45">
      <c r="D75" s="60"/>
      <c r="E75" s="60"/>
      <c r="G75" s="40"/>
    </row>
    <row r="76" spans="4:7" x14ac:dyDescent="0.45">
      <c r="D76" s="60"/>
      <c r="E76" s="60"/>
      <c r="G76" s="40"/>
    </row>
    <row r="77" spans="4:7" x14ac:dyDescent="0.45">
      <c r="D77" s="60"/>
      <c r="E77" s="60"/>
      <c r="G77" s="40"/>
    </row>
    <row r="78" spans="4:7" x14ac:dyDescent="0.45">
      <c r="D78" s="60"/>
      <c r="E78" s="60"/>
      <c r="G78" s="40"/>
    </row>
    <row r="79" spans="4:7" x14ac:dyDescent="0.45">
      <c r="D79" s="60"/>
      <c r="E79" s="60"/>
      <c r="G79" s="40"/>
    </row>
    <row r="80" spans="4:7" x14ac:dyDescent="0.45">
      <c r="D80" s="60"/>
      <c r="E80" s="60"/>
      <c r="G80" s="40"/>
    </row>
    <row r="81" spans="4:7" x14ac:dyDescent="0.45">
      <c r="D81" s="60"/>
      <c r="E81" s="60"/>
      <c r="G81" s="40"/>
    </row>
    <row r="82" spans="4:7" x14ac:dyDescent="0.45">
      <c r="D82" s="60"/>
      <c r="E82" s="60"/>
      <c r="G82" s="40"/>
    </row>
    <row r="83" spans="4:7" x14ac:dyDescent="0.45">
      <c r="D83" s="60"/>
      <c r="E83" s="60"/>
      <c r="G83" s="40"/>
    </row>
    <row r="84" spans="4:7" x14ac:dyDescent="0.45">
      <c r="D84" s="60"/>
      <c r="E84" s="60"/>
      <c r="G84" s="40"/>
    </row>
    <row r="85" spans="4:7" x14ac:dyDescent="0.45">
      <c r="D85" s="60"/>
      <c r="E85" s="60"/>
      <c r="G85" s="40"/>
    </row>
    <row r="86" spans="4:7" x14ac:dyDescent="0.45">
      <c r="D86" s="60"/>
      <c r="E86" s="60"/>
      <c r="G86" s="40"/>
    </row>
    <row r="87" spans="4:7" x14ac:dyDescent="0.45">
      <c r="D87" s="60"/>
      <c r="E87" s="60"/>
      <c r="G87" s="40"/>
    </row>
    <row r="88" spans="4:7" x14ac:dyDescent="0.45">
      <c r="D88" s="60"/>
      <c r="E88" s="60"/>
      <c r="G88" s="40"/>
    </row>
    <row r="89" spans="4:7" x14ac:dyDescent="0.45">
      <c r="D89" s="60"/>
      <c r="E89" s="60"/>
      <c r="G89" s="40"/>
    </row>
    <row r="90" spans="4:7" x14ac:dyDescent="0.45">
      <c r="D90" s="60"/>
      <c r="E90" s="60"/>
      <c r="G90" s="40"/>
    </row>
    <row r="91" spans="4:7" x14ac:dyDescent="0.45">
      <c r="D91" s="60"/>
      <c r="E91" s="60"/>
      <c r="G91" s="40"/>
    </row>
    <row r="92" spans="4:7" x14ac:dyDescent="0.45">
      <c r="D92" s="60"/>
      <c r="E92" s="60"/>
      <c r="G92" s="40"/>
    </row>
    <row r="93" spans="4:7" x14ac:dyDescent="0.45">
      <c r="D93" s="60"/>
      <c r="E93" s="60"/>
      <c r="G93" s="40"/>
    </row>
    <row r="94" spans="4:7" x14ac:dyDescent="0.45">
      <c r="D94" s="60"/>
      <c r="E94" s="60"/>
      <c r="G94" s="40"/>
    </row>
    <row r="95" spans="4:7" x14ac:dyDescent="0.45">
      <c r="D95" s="60"/>
      <c r="E95" s="60"/>
      <c r="G95" s="40"/>
    </row>
    <row r="96" spans="4:7" x14ac:dyDescent="0.45">
      <c r="D96" s="60"/>
      <c r="E96" s="60"/>
      <c r="G96" s="40"/>
    </row>
    <row r="97" spans="4:7" x14ac:dyDescent="0.45">
      <c r="D97" s="60"/>
      <c r="E97" s="60"/>
      <c r="G97" s="40"/>
    </row>
    <row r="98" spans="4:7" x14ac:dyDescent="0.45">
      <c r="D98" s="60"/>
      <c r="E98" s="60"/>
      <c r="G98" s="40"/>
    </row>
    <row r="99" spans="4:7" x14ac:dyDescent="0.45">
      <c r="D99" s="60"/>
      <c r="E99" s="60"/>
      <c r="G99" s="40"/>
    </row>
    <row r="100" spans="4:7" x14ac:dyDescent="0.45">
      <c r="D100" s="60"/>
      <c r="E100" s="60"/>
      <c r="G100" s="40"/>
    </row>
    <row r="101" spans="4:7" x14ac:dyDescent="0.45">
      <c r="D101" s="60"/>
      <c r="E101" s="60"/>
      <c r="G101" s="40"/>
    </row>
    <row r="102" spans="4:7" x14ac:dyDescent="0.45">
      <c r="D102" s="60"/>
      <c r="E102" s="60"/>
      <c r="G102" s="40"/>
    </row>
    <row r="103" spans="4:7" x14ac:dyDescent="0.45">
      <c r="D103" s="60"/>
      <c r="E103" s="60"/>
      <c r="G103" s="40"/>
    </row>
    <row r="104" spans="4:7" x14ac:dyDescent="0.45">
      <c r="D104" s="60"/>
      <c r="E104" s="60"/>
      <c r="G104" s="40"/>
    </row>
    <row r="105" spans="4:7" x14ac:dyDescent="0.45">
      <c r="D105" s="60"/>
      <c r="E105" s="60"/>
      <c r="G105" s="40"/>
    </row>
    <row r="106" spans="4:7" x14ac:dyDescent="0.45">
      <c r="D106" s="60"/>
      <c r="E106" s="60"/>
      <c r="G106" s="40"/>
    </row>
    <row r="107" spans="4:7" x14ac:dyDescent="0.45">
      <c r="D107" s="60"/>
      <c r="E107" s="60"/>
      <c r="G107" s="40"/>
    </row>
    <row r="108" spans="4:7" x14ac:dyDescent="0.45">
      <c r="D108" s="60"/>
      <c r="E108" s="60"/>
      <c r="G108" s="40"/>
    </row>
    <row r="109" spans="4:7" x14ac:dyDescent="0.45">
      <c r="D109" s="60"/>
      <c r="E109" s="60"/>
      <c r="G109" s="40"/>
    </row>
    <row r="110" spans="4:7" x14ac:dyDescent="0.45">
      <c r="D110" s="60"/>
      <c r="E110" s="60"/>
      <c r="G110" s="40"/>
    </row>
    <row r="111" spans="4:7" x14ac:dyDescent="0.45">
      <c r="D111" s="60"/>
      <c r="E111" s="60"/>
      <c r="G111" s="40"/>
    </row>
    <row r="112" spans="4:7" x14ac:dyDescent="0.45">
      <c r="D112" s="60"/>
      <c r="E112" s="60"/>
      <c r="G112" s="40"/>
    </row>
    <row r="113" spans="4:7" x14ac:dyDescent="0.45">
      <c r="D113" s="60"/>
      <c r="E113" s="60"/>
      <c r="G113" s="40"/>
    </row>
    <row r="114" spans="4:7" x14ac:dyDescent="0.45">
      <c r="D114" s="60"/>
      <c r="E114" s="60"/>
      <c r="G114" s="40"/>
    </row>
    <row r="115" spans="4:7" x14ac:dyDescent="0.45">
      <c r="D115" s="60"/>
      <c r="E115" s="60"/>
      <c r="G115" s="40"/>
    </row>
    <row r="116" spans="4:7" x14ac:dyDescent="0.45">
      <c r="D116" s="60"/>
      <c r="E116" s="60"/>
      <c r="G116" s="40"/>
    </row>
    <row r="117" spans="4:7" x14ac:dyDescent="0.45">
      <c r="D117" s="60"/>
      <c r="E117" s="60"/>
      <c r="G117" s="40"/>
    </row>
    <row r="118" spans="4:7" x14ac:dyDescent="0.45">
      <c r="D118" s="60"/>
      <c r="E118" s="60"/>
      <c r="G118" s="40"/>
    </row>
    <row r="119" spans="4:7" x14ac:dyDescent="0.45">
      <c r="D119" s="60"/>
      <c r="E119" s="60"/>
      <c r="G119" s="40"/>
    </row>
    <row r="120" spans="4:7" x14ac:dyDescent="0.45">
      <c r="D120" s="60"/>
      <c r="E120" s="60"/>
      <c r="G120" s="40"/>
    </row>
    <row r="121" spans="4:7" x14ac:dyDescent="0.45">
      <c r="D121" s="60"/>
      <c r="E121" s="60"/>
      <c r="G121" s="40"/>
    </row>
    <row r="122" spans="4:7" x14ac:dyDescent="0.45">
      <c r="D122" s="60"/>
      <c r="E122" s="60"/>
      <c r="G122" s="40"/>
    </row>
    <row r="123" spans="4:7" x14ac:dyDescent="0.45">
      <c r="D123" s="60"/>
      <c r="E123" s="60"/>
      <c r="G123" s="40"/>
    </row>
    <row r="124" spans="4:7" x14ac:dyDescent="0.45">
      <c r="D124" s="60"/>
      <c r="E124" s="60"/>
      <c r="G124" s="40"/>
    </row>
    <row r="125" spans="4:7" x14ac:dyDescent="0.45">
      <c r="D125" s="60"/>
      <c r="E125" s="60"/>
      <c r="G125" s="40"/>
    </row>
    <row r="126" spans="4:7" x14ac:dyDescent="0.45">
      <c r="D126" s="60"/>
      <c r="E126" s="60"/>
      <c r="G126" s="40"/>
    </row>
    <row r="127" spans="4:7" x14ac:dyDescent="0.45">
      <c r="D127" s="60"/>
      <c r="E127" s="60"/>
      <c r="G127" s="40"/>
    </row>
    <row r="128" spans="4:7" x14ac:dyDescent="0.45">
      <c r="D128" s="60"/>
      <c r="E128" s="60"/>
      <c r="G128" s="40"/>
    </row>
    <row r="129" spans="4:7" x14ac:dyDescent="0.45">
      <c r="D129" s="60"/>
      <c r="E129" s="60"/>
      <c r="G129" s="40"/>
    </row>
    <row r="130" spans="4:7" x14ac:dyDescent="0.45">
      <c r="D130" s="60"/>
      <c r="E130" s="60"/>
      <c r="G130" s="40"/>
    </row>
    <row r="131" spans="4:7" x14ac:dyDescent="0.45">
      <c r="D131" s="60"/>
      <c r="E131" s="60"/>
      <c r="G131" s="40"/>
    </row>
    <row r="132" spans="4:7" x14ac:dyDescent="0.45">
      <c r="D132" s="60"/>
      <c r="E132" s="60"/>
      <c r="G132" s="40"/>
    </row>
    <row r="133" spans="4:7" x14ac:dyDescent="0.45">
      <c r="D133" s="60"/>
      <c r="E133" s="60"/>
      <c r="G133" s="40"/>
    </row>
    <row r="134" spans="4:7" x14ac:dyDescent="0.45">
      <c r="D134" s="60"/>
      <c r="E134" s="60"/>
      <c r="G134" s="40"/>
    </row>
    <row r="135" spans="4:7" x14ac:dyDescent="0.45">
      <c r="D135" s="60"/>
      <c r="E135" s="60"/>
      <c r="G135" s="40"/>
    </row>
    <row r="136" spans="4:7" x14ac:dyDescent="0.45">
      <c r="D136" s="60"/>
      <c r="E136" s="60"/>
      <c r="G136" s="40"/>
    </row>
    <row r="137" spans="4:7" x14ac:dyDescent="0.45">
      <c r="D137" s="60"/>
      <c r="E137" s="60"/>
      <c r="G137" s="40"/>
    </row>
    <row r="138" spans="4:7" x14ac:dyDescent="0.45">
      <c r="D138" s="60"/>
      <c r="E138" s="60"/>
      <c r="G138" s="40"/>
    </row>
    <row r="139" spans="4:7" x14ac:dyDescent="0.45">
      <c r="D139" s="60"/>
      <c r="E139" s="60"/>
      <c r="G139" s="40"/>
    </row>
    <row r="140" spans="4:7" x14ac:dyDescent="0.45">
      <c r="D140" s="60"/>
      <c r="E140" s="60"/>
      <c r="G140" s="40"/>
    </row>
    <row r="141" spans="4:7" x14ac:dyDescent="0.45">
      <c r="D141" s="60"/>
      <c r="E141" s="60"/>
      <c r="G141" s="40"/>
    </row>
    <row r="142" spans="4:7" x14ac:dyDescent="0.45">
      <c r="D142" s="60"/>
      <c r="E142" s="60"/>
      <c r="G142" s="40"/>
    </row>
    <row r="143" spans="4:7" x14ac:dyDescent="0.45">
      <c r="D143" s="60"/>
      <c r="E143" s="60"/>
      <c r="G143" s="40"/>
    </row>
    <row r="144" spans="4:7" x14ac:dyDescent="0.45">
      <c r="D144" s="60"/>
      <c r="E144" s="60"/>
      <c r="G144" s="40"/>
    </row>
    <row r="145" spans="4:7" x14ac:dyDescent="0.45">
      <c r="D145" s="60"/>
      <c r="E145" s="60"/>
      <c r="G145" s="40"/>
    </row>
    <row r="146" spans="4:7" x14ac:dyDescent="0.45">
      <c r="D146" s="60"/>
      <c r="E146" s="60"/>
      <c r="G146" s="40"/>
    </row>
    <row r="147" spans="4:7" x14ac:dyDescent="0.45">
      <c r="D147" s="60"/>
      <c r="E147" s="60"/>
      <c r="G147" s="40"/>
    </row>
    <row r="148" spans="4:7" x14ac:dyDescent="0.45">
      <c r="D148" s="60"/>
      <c r="E148" s="60"/>
      <c r="G148" s="40"/>
    </row>
    <row r="149" spans="4:7" x14ac:dyDescent="0.45">
      <c r="D149" s="60"/>
      <c r="E149" s="60"/>
      <c r="G149" s="40"/>
    </row>
    <row r="150" spans="4:7" x14ac:dyDescent="0.45">
      <c r="D150" s="60"/>
      <c r="E150" s="60"/>
      <c r="G150" s="40"/>
    </row>
    <row r="151" spans="4:7" x14ac:dyDescent="0.45">
      <c r="D151" s="60"/>
      <c r="E151" s="60"/>
      <c r="G151" s="40"/>
    </row>
    <row r="152" spans="4:7" x14ac:dyDescent="0.45">
      <c r="D152" s="60"/>
      <c r="E152" s="60"/>
      <c r="G152" s="40"/>
    </row>
    <row r="153" spans="4:7" x14ac:dyDescent="0.45">
      <c r="D153" s="60"/>
      <c r="E153" s="60"/>
      <c r="G153" s="40"/>
    </row>
    <row r="154" spans="4:7" x14ac:dyDescent="0.45">
      <c r="D154" s="60"/>
      <c r="E154" s="60"/>
      <c r="G154" s="40"/>
    </row>
  </sheetData>
  <pageMargins left="0.7" right="0.7" top="0.75" bottom="0.75" header="0.3" footer="0.3"/>
  <pageSetup scale="44"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680D2-3C00-4100-8D5E-B18C74A94170}">
  <sheetPr codeName="Sheet9">
    <tabColor theme="7" tint="-0.249977111117893"/>
  </sheetPr>
  <dimension ref="C1:T54"/>
  <sheetViews>
    <sheetView zoomScale="85" zoomScaleNormal="85" workbookViewId="0">
      <selection activeCell="D6" sqref="D6"/>
    </sheetView>
  </sheetViews>
  <sheetFormatPr defaultRowHeight="14.25" x14ac:dyDescent="0.45"/>
  <cols>
    <col min="3" max="3" width="23.3984375" customWidth="1"/>
    <col min="4" max="4" width="17.1328125" customWidth="1"/>
    <col min="5" max="6" width="14.73046875" customWidth="1"/>
    <col min="7" max="7" width="20.1328125" bestFit="1" customWidth="1"/>
    <col min="8" max="8" width="12.1328125" customWidth="1"/>
    <col min="9" max="9" width="15.1328125" customWidth="1"/>
    <col min="10" max="10" width="12.86328125" customWidth="1"/>
    <col min="11" max="11" width="13.73046875" customWidth="1"/>
    <col min="12" max="12" width="15.3984375" customWidth="1"/>
    <col min="13" max="20" width="12.1328125" customWidth="1"/>
  </cols>
  <sheetData>
    <row r="1" spans="3:20" ht="158.1" customHeight="1" x14ac:dyDescent="0.45"/>
    <row r="3" spans="3:20" ht="21.6" customHeight="1" x14ac:dyDescent="0.45">
      <c r="C3" s="336" t="s">
        <v>864</v>
      </c>
      <c r="D3" s="336"/>
      <c r="E3" s="336"/>
      <c r="F3" s="336"/>
      <c r="G3" s="336"/>
      <c r="H3" s="336"/>
    </row>
    <row r="5" spans="3:20" x14ac:dyDescent="0.45">
      <c r="D5" s="111" t="s">
        <v>869</v>
      </c>
      <c r="H5" s="111" t="s">
        <v>865</v>
      </c>
    </row>
    <row r="6" spans="3:20" x14ac:dyDescent="0.45">
      <c r="D6" s="117">
        <v>44927</v>
      </c>
      <c r="G6" s="110" t="s">
        <v>866</v>
      </c>
      <c r="H6" s="118">
        <f>Lookup!N4</f>
        <v>45383</v>
      </c>
      <c r="I6" s="178">
        <f>Lookup!N5</f>
        <v>45413</v>
      </c>
      <c r="J6" s="178">
        <f>Lookup!N6</f>
        <v>45444</v>
      </c>
      <c r="K6" s="178">
        <f>Lookup!N7</f>
        <v>45474</v>
      </c>
      <c r="L6" s="178">
        <f>Lookup!N8</f>
        <v>45505</v>
      </c>
      <c r="M6" s="178">
        <f>Lookup!N9</f>
        <v>45536</v>
      </c>
      <c r="N6" s="178">
        <f>Lookup!N10</f>
        <v>45566</v>
      </c>
      <c r="O6" s="178">
        <f>Lookup!N11</f>
        <v>45597</v>
      </c>
      <c r="P6" s="178">
        <f>Lookup!N12</f>
        <v>45627</v>
      </c>
      <c r="Q6" s="178">
        <f>Lookup!N13</f>
        <v>45658</v>
      </c>
      <c r="R6" s="178">
        <f>Lookup!N14</f>
        <v>45689</v>
      </c>
      <c r="S6" s="178">
        <f>Lookup!N15</f>
        <v>45717</v>
      </c>
      <c r="T6" s="178">
        <f>Lookup!N16</f>
        <v>45748</v>
      </c>
    </row>
    <row r="7" spans="3:20" x14ac:dyDescent="0.45">
      <c r="C7" s="113" t="s">
        <v>870</v>
      </c>
      <c r="D7" s="110">
        <f>MAX(tblRisk[[#Data],[Scenario Builder Current Risk]])</f>
        <v>16</v>
      </c>
      <c r="G7" s="110" t="s">
        <v>873</v>
      </c>
      <c r="H7" s="112">
        <v>20</v>
      </c>
      <c r="I7" s="112">
        <v>20</v>
      </c>
      <c r="J7" s="112">
        <v>16</v>
      </c>
      <c r="K7" s="112">
        <v>16</v>
      </c>
      <c r="L7" s="112">
        <v>16</v>
      </c>
      <c r="M7" s="112">
        <v>15</v>
      </c>
      <c r="N7" s="112">
        <v>15</v>
      </c>
      <c r="O7" s="112">
        <v>15</v>
      </c>
      <c r="P7" s="112">
        <v>15</v>
      </c>
      <c r="Q7" s="112">
        <v>12</v>
      </c>
      <c r="R7" s="112">
        <v>12</v>
      </c>
      <c r="S7" s="112">
        <v>12</v>
      </c>
      <c r="T7" s="112">
        <v>9</v>
      </c>
    </row>
    <row r="8" spans="3:20" x14ac:dyDescent="0.45">
      <c r="C8" s="113" t="s">
        <v>871</v>
      </c>
      <c r="D8" s="110">
        <f>AVERAGE(tblRisk[Scenario Builder Current Risk])</f>
        <v>5.5620915032679736</v>
      </c>
      <c r="G8" s="110" t="s">
        <v>872</v>
      </c>
      <c r="H8" s="112">
        <v>14.2</v>
      </c>
      <c r="I8" s="112">
        <v>13.49</v>
      </c>
      <c r="J8" s="112">
        <v>12.9504</v>
      </c>
      <c r="K8" s="112">
        <v>12.173376000000001</v>
      </c>
      <c r="L8" s="112">
        <v>11.442973440000001</v>
      </c>
      <c r="M8" s="112">
        <v>10.9852545024</v>
      </c>
      <c r="N8" s="112">
        <v>10.216286687232</v>
      </c>
      <c r="O8" s="112">
        <v>9.6033094859980803</v>
      </c>
      <c r="P8" s="112">
        <v>9.3152102014181377</v>
      </c>
      <c r="Q8" s="112">
        <v>8.9426017933614119</v>
      </c>
      <c r="R8" s="112">
        <v>8.3166196678261137</v>
      </c>
      <c r="S8" s="112">
        <v>7.9839548811130694</v>
      </c>
      <c r="T8" s="112">
        <v>7.4250780394351548</v>
      </c>
    </row>
    <row r="9" spans="3:20" x14ac:dyDescent="0.45">
      <c r="C9" s="113" t="s">
        <v>875</v>
      </c>
      <c r="D9" s="110">
        <f>MAX(tblRisk[Current Level of Risk])</f>
        <v>16</v>
      </c>
      <c r="G9" s="110" t="s">
        <v>875</v>
      </c>
      <c r="H9" s="112">
        <v>20</v>
      </c>
      <c r="I9" s="112">
        <v>20</v>
      </c>
      <c r="J9" s="112">
        <v>20</v>
      </c>
      <c r="K9" s="112">
        <v>16</v>
      </c>
      <c r="L9" s="112">
        <v>16</v>
      </c>
      <c r="M9" s="112">
        <v>16</v>
      </c>
      <c r="N9" s="112">
        <v>16</v>
      </c>
      <c r="O9" s="112">
        <v>16</v>
      </c>
      <c r="P9" s="112">
        <v>15</v>
      </c>
      <c r="Q9" s="112"/>
      <c r="R9" s="112"/>
      <c r="S9" s="112"/>
      <c r="T9" s="112"/>
    </row>
    <row r="10" spans="3:20" x14ac:dyDescent="0.45">
      <c r="C10" s="113" t="s">
        <v>874</v>
      </c>
      <c r="D10" s="110">
        <f>AVERAGE(tblRisk[Current Level of Risk])</f>
        <v>5.3594771241830061</v>
      </c>
      <c r="G10" s="110" t="s">
        <v>874</v>
      </c>
      <c r="H10" s="112">
        <v>14.2</v>
      </c>
      <c r="I10" s="112">
        <v>13.49</v>
      </c>
      <c r="J10" s="112">
        <v>13.1</v>
      </c>
      <c r="K10" s="112">
        <v>12.2</v>
      </c>
      <c r="L10" s="112">
        <v>11.4</v>
      </c>
      <c r="M10" s="112">
        <v>10.8</v>
      </c>
      <c r="N10" s="112">
        <v>10.8</v>
      </c>
      <c r="O10" s="112">
        <v>10.199999999999999</v>
      </c>
      <c r="P10" s="112">
        <v>9.8495575221238933</v>
      </c>
      <c r="Q10" s="112"/>
      <c r="R10" s="112"/>
      <c r="S10" s="112"/>
      <c r="T10" s="112"/>
    </row>
    <row r="11" spans="3:20" x14ac:dyDescent="0.45">
      <c r="G11" s="110" t="s">
        <v>123</v>
      </c>
      <c r="H11">
        <f t="shared" ref="H11:T11" si="0">valALR</f>
        <v>9</v>
      </c>
      <c r="I11">
        <f t="shared" si="0"/>
        <v>9</v>
      </c>
      <c r="J11">
        <f t="shared" si="0"/>
        <v>9</v>
      </c>
      <c r="K11">
        <f t="shared" si="0"/>
        <v>9</v>
      </c>
      <c r="L11">
        <f t="shared" si="0"/>
        <v>9</v>
      </c>
      <c r="M11">
        <f t="shared" si="0"/>
        <v>9</v>
      </c>
      <c r="N11">
        <f t="shared" si="0"/>
        <v>9</v>
      </c>
      <c r="O11">
        <f t="shared" si="0"/>
        <v>9</v>
      </c>
      <c r="P11">
        <f t="shared" si="0"/>
        <v>9</v>
      </c>
      <c r="Q11">
        <f t="shared" si="0"/>
        <v>9</v>
      </c>
      <c r="R11">
        <f t="shared" si="0"/>
        <v>9</v>
      </c>
      <c r="S11">
        <f t="shared" si="0"/>
        <v>9</v>
      </c>
      <c r="T11">
        <f t="shared" si="0"/>
        <v>9</v>
      </c>
    </row>
    <row r="13" spans="3:20" s="115" customFormat="1" ht="10.15" customHeight="1" x14ac:dyDescent="0.35">
      <c r="C13" s="114"/>
      <c r="D13" s="114"/>
      <c r="E13" s="114"/>
      <c r="F13" s="114"/>
      <c r="G13" s="114"/>
      <c r="H13" s="114"/>
      <c r="I13" s="114"/>
      <c r="J13" s="114"/>
      <c r="K13" s="114"/>
      <c r="L13" s="114"/>
      <c r="M13" s="114"/>
      <c r="N13" s="114"/>
      <c r="O13" s="114"/>
      <c r="P13" s="114"/>
      <c r="Q13" s="114"/>
      <c r="R13" s="114"/>
      <c r="S13" s="114"/>
      <c r="T13" s="114"/>
    </row>
    <row r="14" spans="3:20" x14ac:dyDescent="0.45">
      <c r="L14" s="40"/>
    </row>
    <row r="15" spans="3:20" ht="25.15" customHeight="1" x14ac:dyDescent="0.45">
      <c r="C15" s="336" t="s">
        <v>876</v>
      </c>
      <c r="D15" s="336"/>
      <c r="E15" s="336"/>
      <c r="F15" s="336"/>
      <c r="G15" s="336"/>
      <c r="H15" s="336"/>
    </row>
    <row r="18" spans="3:20" x14ac:dyDescent="0.45">
      <c r="C18" t="s">
        <v>57</v>
      </c>
      <c r="D18" t="s">
        <v>882</v>
      </c>
      <c r="E18" t="s">
        <v>877</v>
      </c>
      <c r="F18" t="s">
        <v>63</v>
      </c>
      <c r="G18" t="s">
        <v>1065</v>
      </c>
      <c r="H18" t="s">
        <v>1068</v>
      </c>
    </row>
    <row r="19" spans="3:20" x14ac:dyDescent="0.45">
      <c r="C19" t="str">
        <f>HIT!B6</f>
        <v>Physical Facility</v>
      </c>
      <c r="D19" s="129">
        <f>VLOOKUP(tblDefensePreparedness[[#This Row],[Threat Cluster]],tblHIT[],3,FALSE)</f>
        <v>0.53174603174603174</v>
      </c>
      <c r="E19" cm="1">
        <f t="array" ref="E19">IFERROR(ROUNDDOWN(AVERAGEIF(Threat_Cluster,tblDefensePreparedness[[#This Row],[Threat Cluster]],HIT_Quintile),0),"N/A")</f>
        <v>2</v>
      </c>
      <c r="F19">
        <f>IFERROR(AVERAGEIF(tblRisk[Current Threat Cluster],tblDefensePreparedness[[#This Row],[Threat Cluster]],tblRisk[Current Maturity]),"N/A")</f>
        <v>4.2307692307692308</v>
      </c>
      <c r="G19">
        <f>IFERROR(IF(_xlfn.MAXIFS(tblRisk[Current Level of Risk],tblRisk[Current Threat Cluster],tblDefensePreparedness[[#This Row],[Threat Cluster]])&gt;0,_xlfn.MAXIFS(tblRisk[Current Level of Risk],tblRisk[Current Threat Cluster],tblDefensePreparedness[[#This Row],[Threat Cluster]]),30),"N/A")</f>
        <v>12</v>
      </c>
      <c r="H19">
        <f>tblDefensePreparedness[[#This Row],[Control Risk (MAX)]]-1</f>
        <v>11</v>
      </c>
    </row>
    <row r="20" spans="3:20" x14ac:dyDescent="0.45">
      <c r="C20" t="str">
        <f>HIT!B7</f>
        <v>POS</v>
      </c>
      <c r="D20" s="129">
        <f>VLOOKUP(tblDefensePreparedness[[#This Row],[Threat Cluster]],tblHIT[],3,FALSE)</f>
        <v>0.44444444444444442</v>
      </c>
      <c r="E20" t="str" cm="1">
        <f t="array" ref="E20">IFERROR(ROUNDDOWN(AVERAGEIF(Threat_Cluster,tblDefensePreparedness[[#This Row],[Threat Cluster]],HIT_Quintile),0),"N/A")</f>
        <v>N/A</v>
      </c>
      <c r="F20" t="str">
        <f>IFERROR(AVERAGEIF(tblRisk[Current Threat Cluster],tblDefensePreparedness[[#This Row],[Threat Cluster]],tblRisk[Current Maturity]),"N/A")</f>
        <v>N/A</v>
      </c>
      <c r="G20">
        <f>IFERROR(IF(_xlfn.MAXIFS(tblRisk[Current Level of Risk],tblRisk[Current Threat Cluster],tblDefensePreparedness[[#This Row],[Threat Cluster]])&gt;0,_xlfn.MAXIFS(tblRisk[Current Level of Risk],tblRisk[Current Threat Cluster],tblDefensePreparedness[[#This Row],[Threat Cluster]]),30),"N/A")</f>
        <v>30</v>
      </c>
      <c r="H20">
        <f>tblDefensePreparedness[[#This Row],[Control Risk (MAX)]]-1</f>
        <v>29</v>
      </c>
    </row>
    <row r="21" spans="3:20" x14ac:dyDescent="0.45">
      <c r="C21" t="str">
        <f>HIT!B8</f>
        <v>Physical Asset Loss</v>
      </c>
      <c r="D21" s="129">
        <f>VLOOKUP(tblDefensePreparedness[[#This Row],[Threat Cluster]],tblHIT[],3,FALSE)</f>
        <v>0.3968253968253968</v>
      </c>
      <c r="E21" cm="1">
        <f t="array" ref="E21">IFERROR(ROUNDDOWN(AVERAGEIF(Threat_Cluster,tblDefensePreparedness[[#This Row],[Threat Cluster]],HIT_Quintile),0),"N/A")</f>
        <v>1</v>
      </c>
      <c r="F21">
        <f>IFERROR(AVERAGEIF(tblRisk[Current Threat Cluster],tblDefensePreparedness[[#This Row],[Threat Cluster]],tblRisk[Current Maturity]),"N/A")</f>
        <v>4</v>
      </c>
      <c r="G21">
        <f>IFERROR(IF(_xlfn.MAXIFS(tblRisk[Current Level of Risk],tblRisk[Current Threat Cluster],tblDefensePreparedness[[#This Row],[Threat Cluster]])&gt;0,_xlfn.MAXIFS(tblRisk[Current Level of Risk],tblRisk[Current Threat Cluster],tblDefensePreparedness[[#This Row],[Threat Cluster]]),30),"N/A")</f>
        <v>6</v>
      </c>
      <c r="H21">
        <f>tblDefensePreparedness[[#This Row],[Control Risk (MAX)]]-1</f>
        <v>5</v>
      </c>
    </row>
    <row r="22" spans="3:20" x14ac:dyDescent="0.45">
      <c r="C22" t="str">
        <f>HIT!B9</f>
        <v>Personnel Error</v>
      </c>
      <c r="D22" s="129">
        <f>VLOOKUP(tblDefensePreparedness[[#This Row],[Threat Cluster]],tblHIT[],3,FALSE)</f>
        <v>0.31746031746031744</v>
      </c>
      <c r="E22" cm="1">
        <f t="array" ref="E22">IFERROR(ROUNDDOWN(AVERAGEIF(Threat_Cluster,tblDefensePreparedness[[#This Row],[Threat Cluster]],HIT_Quintile),0),"N/A")</f>
        <v>1</v>
      </c>
      <c r="F22">
        <f>IFERROR(AVERAGEIF(tblRisk[Current Threat Cluster],tblDefensePreparedness[[#This Row],[Threat Cluster]],tblRisk[Current Maturity]),"N/A")</f>
        <v>4.0606060606060606</v>
      </c>
      <c r="G22">
        <f>IFERROR(IF(_xlfn.MAXIFS(tblRisk[Current Level of Risk],tblRisk[Current Threat Cluster],tblDefensePreparedness[[#This Row],[Threat Cluster]])&gt;0,_xlfn.MAXIFS(tblRisk[Current Level of Risk],tblRisk[Current Threat Cluster],tblDefensePreparedness[[#This Row],[Threat Cluster]]),30),"N/A")</f>
        <v>8</v>
      </c>
      <c r="H22">
        <f>tblDefensePreparedness[[#This Row],[Control Risk (MAX)]]-1</f>
        <v>7</v>
      </c>
    </row>
    <row r="23" spans="3:20" x14ac:dyDescent="0.45">
      <c r="C23" t="str">
        <f>HIT!B10</f>
        <v>Personnel Misuse</v>
      </c>
      <c r="D23" s="129">
        <f>VLOOKUP(tblDefensePreparedness[[#This Row],[Threat Cluster]],tblHIT[],3,FALSE)</f>
        <v>0.25396825396825395</v>
      </c>
      <c r="E23" cm="1">
        <f t="array" ref="E23">IFERROR(ROUNDDOWN(AVERAGEIF(Threat_Cluster,tblDefensePreparedness[[#This Row],[Threat Cluster]],HIT_Quintile),0),"N/A")</f>
        <v>2</v>
      </c>
      <c r="F23">
        <f>IFERROR(AVERAGEIF(tblRisk[Current Threat Cluster],tblDefensePreparedness[[#This Row],[Threat Cluster]],tblRisk[Current Maturity]),"N/A")</f>
        <v>3.9411764705882355</v>
      </c>
      <c r="G23">
        <f>IFERROR(IF(_xlfn.MAXIFS(tblRisk[Current Level of Risk],tblRisk[Current Threat Cluster],tblDefensePreparedness[[#This Row],[Threat Cluster]])&gt;0,_xlfn.MAXIFS(tblRisk[Current Level of Risk],tblRisk[Current Threat Cluster],tblDefensePreparedness[[#This Row],[Threat Cluster]]),30),"N/A")</f>
        <v>9</v>
      </c>
      <c r="H23">
        <f>tblDefensePreparedness[[#This Row],[Control Risk (MAX)]]-1</f>
        <v>8</v>
      </c>
    </row>
    <row r="24" spans="3:20" x14ac:dyDescent="0.45">
      <c r="C24" t="str">
        <f>HIT!B11</f>
        <v>Hacking System</v>
      </c>
      <c r="D24" s="129">
        <f>VLOOKUP(tblDefensePreparedness[[#This Row],[Threat Cluster]],tblHIT[],3,FALSE)</f>
        <v>0.21428571428571427</v>
      </c>
      <c r="E24" cm="1">
        <f t="array" ref="E24">IFERROR(ROUNDDOWN(AVERAGEIF(Threat_Cluster,tblDefensePreparedness[[#This Row],[Threat Cluster]],HIT_Quintile),0),"N/A")</f>
        <v>2</v>
      </c>
      <c r="F24">
        <f>IFERROR(AVERAGEIF(tblRisk[Current Threat Cluster],tblDefensePreparedness[[#This Row],[Threat Cluster]],tblRisk[Current Maturity]),"N/A")</f>
        <v>3.8043478260869565</v>
      </c>
      <c r="G24">
        <f>IFERROR(IF(_xlfn.MAXIFS(tblRisk[Current Level of Risk],tblRisk[Current Threat Cluster],tblDefensePreparedness[[#This Row],[Threat Cluster]])&gt;0,_xlfn.MAXIFS(tblRisk[Current Level of Risk],tblRisk[Current Threat Cluster],tblDefensePreparedness[[#This Row],[Threat Cluster]]),30),"N/A")</f>
        <v>16</v>
      </c>
      <c r="H24">
        <f>tblDefensePreparedness[[#This Row],[Control Risk (MAX)]]-1</f>
        <v>15</v>
      </c>
    </row>
    <row r="25" spans="3:20" x14ac:dyDescent="0.45">
      <c r="C25" t="str">
        <f>HIT!B12</f>
        <v>Social Engineering</v>
      </c>
      <c r="D25" s="129">
        <f>VLOOKUP(tblDefensePreparedness[[#This Row],[Threat Cluster]],tblHIT[],3,FALSE)</f>
        <v>0.11904761904761904</v>
      </c>
      <c r="E25" cm="1">
        <f t="array" ref="E25">IFERROR(ROUNDDOWN(AVERAGEIF(Threat_Cluster,tblDefensePreparedness[[#This Row],[Threat Cluster]],HIT_Quintile),0),"N/A")</f>
        <v>2</v>
      </c>
      <c r="F25">
        <f>IFERROR(AVERAGEIF(tblRisk[Current Threat Cluster],tblDefensePreparedness[[#This Row],[Threat Cluster]],tblRisk[Current Maturity]),"N/A")</f>
        <v>4</v>
      </c>
      <c r="G25">
        <f>IFERROR(IF(_xlfn.MAXIFS(tblRisk[Current Level of Risk],tblRisk[Current Threat Cluster],tblDefensePreparedness[[#This Row],[Threat Cluster]])&gt;0,_xlfn.MAXIFS(tblRisk[Current Level of Risk],tblRisk[Current Threat Cluster],tblDefensePreparedness[[#This Row],[Threat Cluster]]),30),"N/A")</f>
        <v>2</v>
      </c>
      <c r="H25">
        <f>tblDefensePreparedness[[#This Row],[Control Risk (MAX)]]-1</f>
        <v>1</v>
      </c>
    </row>
    <row r="26" spans="3:20" x14ac:dyDescent="0.45">
      <c r="C26" t="str">
        <f>HIT!B13</f>
        <v>Hacking Web</v>
      </c>
      <c r="D26" s="129">
        <f>VLOOKUP(tblDefensePreparedness[[#This Row],[Threat Cluster]],tblHIT[],3,FALSE)</f>
        <v>7.1428571428571425E-2</v>
      </c>
      <c r="E26" cm="1">
        <f t="array" ref="E26">IFERROR(ROUNDDOWN(AVERAGEIF(Threat_Cluster,tblDefensePreparedness[[#This Row],[Threat Cluster]],HIT_Quintile),0),"N/A")</f>
        <v>1</v>
      </c>
      <c r="F26">
        <f>IFERROR(AVERAGEIF(tblRisk[Current Threat Cluster],tblDefensePreparedness[[#This Row],[Threat Cluster]],tblRisk[Current Maturity]),"N/A")</f>
        <v>3.6842105263157894</v>
      </c>
      <c r="G26">
        <f>IFERROR(IF(_xlfn.MAXIFS(tblRisk[Current Level of Risk],tblRisk[Current Threat Cluster],tblDefensePreparedness[[#This Row],[Threat Cluster]])&gt;0,_xlfn.MAXIFS(tblRisk[Current Level of Risk],tblRisk[Current Threat Cluster],tblDefensePreparedness[[#This Row],[Threat Cluster]]),30),"N/A")</f>
        <v>16</v>
      </c>
      <c r="H26">
        <f>tblDefensePreparedness[[#This Row],[Control Risk (MAX)]]-1</f>
        <v>15</v>
      </c>
    </row>
    <row r="27" spans="3:20" x14ac:dyDescent="0.45">
      <c r="C27" t="str">
        <f>HIT!B14</f>
        <v>Malware</v>
      </c>
      <c r="D27" s="129">
        <f>VLOOKUP(tblDefensePreparedness[[#This Row],[Threat Cluster]],tblHIT[],3,FALSE)</f>
        <v>6.3492063492063489E-2</v>
      </c>
      <c r="E27" cm="1">
        <f t="array" ref="E27">IFERROR(ROUNDDOWN(AVERAGEIF(Threat_Cluster,tblDefensePreparedness[[#This Row],[Threat Cluster]],HIT_Quintile),0),"N/A")</f>
        <v>2</v>
      </c>
      <c r="F27">
        <f>IFERROR(AVERAGEIF(tblRisk[Current Threat Cluster],tblDefensePreparedness[[#This Row],[Threat Cluster]],tblRisk[Current Maturity]),"N/A")</f>
        <v>4.666666666666667</v>
      </c>
      <c r="G27">
        <f>IFERROR(IF(_xlfn.MAXIFS(tblRisk[Current Level of Risk],tblRisk[Current Threat Cluster],tblDefensePreparedness[[#This Row],[Threat Cluster]])&gt;0,_xlfn.MAXIFS(tblRisk[Current Level of Risk],tblRisk[Current Threat Cluster],tblDefensePreparedness[[#This Row],[Threat Cluster]]),30),"N/A")</f>
        <v>3</v>
      </c>
      <c r="H27">
        <f>tblDefensePreparedness[[#This Row],[Control Risk (MAX)]]-1</f>
        <v>2</v>
      </c>
    </row>
    <row r="28" spans="3:20" x14ac:dyDescent="0.45">
      <c r="C28" t="str">
        <f>HIT!B15</f>
        <v>System Failure</v>
      </c>
      <c r="D28" s="129">
        <f>VLOOKUP(tblDefensePreparedness[[#This Row],[Threat Cluster]],tblHIT[],3,FALSE)</f>
        <v>0</v>
      </c>
      <c r="E28" cm="1">
        <f t="array" ref="E28">IFERROR(ROUNDDOWN(AVERAGEIF(Threat_Cluster,tblDefensePreparedness[[#This Row],[Threat Cluster]],HIT_Quintile),0),"N/A")</f>
        <v>1</v>
      </c>
      <c r="F28">
        <f>IFERROR(AVERAGEIF(tblRisk[Current Threat Cluster],tblDefensePreparedness[[#This Row],[Threat Cluster]],tblRisk[Current Maturity]),"N/A")</f>
        <v>3.75</v>
      </c>
      <c r="G28">
        <f>IFERROR(IF(_xlfn.MAXIFS(tblRisk[Current Level of Risk],tblRisk[Current Threat Cluster],tblDefensePreparedness[[#This Row],[Threat Cluster]])&gt;0,_xlfn.MAXIFS(tblRisk[Current Level of Risk],tblRisk[Current Threat Cluster],tblDefensePreparedness[[#This Row],[Threat Cluster]]),30),"N/A")</f>
        <v>6</v>
      </c>
      <c r="H28">
        <f>tblDefensePreparedness[[#This Row],[Control Risk (MAX)]]-1</f>
        <v>5</v>
      </c>
    </row>
    <row r="30" spans="3:20" s="115" customFormat="1" ht="10.15" customHeight="1" x14ac:dyDescent="0.35">
      <c r="C30" s="114"/>
      <c r="D30" s="114"/>
      <c r="E30" s="114"/>
      <c r="F30" s="114"/>
      <c r="G30" s="114"/>
      <c r="H30" s="114"/>
      <c r="I30" s="114"/>
      <c r="J30" s="114"/>
      <c r="K30" s="114"/>
      <c r="L30" s="114"/>
      <c r="M30" s="114"/>
      <c r="N30" s="114"/>
      <c r="O30" s="114"/>
      <c r="P30" s="114"/>
      <c r="Q30" s="114"/>
      <c r="R30" s="114"/>
      <c r="S30" s="114"/>
      <c r="T30" s="114"/>
    </row>
    <row r="31" spans="3:20" x14ac:dyDescent="0.45">
      <c r="L31" s="40"/>
    </row>
    <row r="32" spans="3:20" ht="21.6" customHeight="1" x14ac:dyDescent="0.45">
      <c r="C32" s="336" t="s">
        <v>878</v>
      </c>
      <c r="D32" s="336"/>
      <c r="E32" s="336"/>
      <c r="F32" s="336"/>
      <c r="G32" s="336"/>
      <c r="H32" s="336"/>
    </row>
    <row r="33" spans="3:20" x14ac:dyDescent="0.45">
      <c r="L33" s="40"/>
    </row>
    <row r="34" spans="3:20" x14ac:dyDescent="0.45">
      <c r="C34" s="110" t="s">
        <v>879</v>
      </c>
      <c r="D34" s="119">
        <v>44927</v>
      </c>
      <c r="F34" s="34"/>
    </row>
    <row r="35" spans="3:20" x14ac:dyDescent="0.45">
      <c r="C35" s="110" t="s">
        <v>880</v>
      </c>
      <c r="D35" s="119"/>
      <c r="H35" s="111" t="s">
        <v>865</v>
      </c>
    </row>
    <row r="36" spans="3:20" x14ac:dyDescent="0.45">
      <c r="C36" t="s">
        <v>74</v>
      </c>
      <c r="D36" t="s">
        <v>863</v>
      </c>
      <c r="E36" t="s">
        <v>848</v>
      </c>
      <c r="G36" s="110" t="s">
        <v>866</v>
      </c>
      <c r="H36" s="118">
        <f>H6</f>
        <v>45383</v>
      </c>
      <c r="I36" s="118">
        <f t="shared" ref="I36:T36" si="1">I6</f>
        <v>45413</v>
      </c>
      <c r="J36" s="118">
        <f t="shared" si="1"/>
        <v>45444</v>
      </c>
      <c r="K36" s="118">
        <f t="shared" si="1"/>
        <v>45474</v>
      </c>
      <c r="L36" s="118">
        <f t="shared" si="1"/>
        <v>45505</v>
      </c>
      <c r="M36" s="118">
        <f t="shared" si="1"/>
        <v>45536</v>
      </c>
      <c r="N36" s="118">
        <f t="shared" si="1"/>
        <v>45566</v>
      </c>
      <c r="O36" s="118">
        <f t="shared" si="1"/>
        <v>45597</v>
      </c>
      <c r="P36" s="118">
        <f t="shared" si="1"/>
        <v>45627</v>
      </c>
      <c r="Q36" s="118">
        <f t="shared" si="1"/>
        <v>45658</v>
      </c>
      <c r="R36" s="118">
        <f t="shared" si="1"/>
        <v>45689</v>
      </c>
      <c r="S36" s="118">
        <f t="shared" si="1"/>
        <v>45717</v>
      </c>
      <c r="T36" s="118">
        <f t="shared" si="1"/>
        <v>45748</v>
      </c>
    </row>
    <row r="37" spans="3:20" x14ac:dyDescent="0.45">
      <c r="C37" t="e">
        <f t="shared" ref="C37:C47" si="2">VLOOKUP(D34,Risk_Treatment_Program,5,FALSE)</f>
        <v>#N/A</v>
      </c>
      <c r="G37" s="110" t="s">
        <v>1058</v>
      </c>
      <c r="H37">
        <f>COUNTIF(tblRiskTreatmentPrograms[Estimated Start Date (MM/DD/YYYY)],H$35)</f>
        <v>0</v>
      </c>
      <c r="I37">
        <f>COUNTIF(tblRiskTreatmentPrograms[Estimated Start Date (MM/DD/YYYY)],I$35)</f>
        <v>0</v>
      </c>
      <c r="J37">
        <f>COUNTIF(tblRiskTreatmentPrograms[Estimated Start Date (MM/DD/YYYY)],J$35)</f>
        <v>0</v>
      </c>
      <c r="K37">
        <f>COUNTIF(tblRiskTreatmentPrograms[Estimated Start Date (MM/DD/YYYY)],K$35)</f>
        <v>0</v>
      </c>
      <c r="L37">
        <f>COUNTIF(tblRiskTreatmentPrograms[Estimated Start Date (MM/DD/YYYY)],L$35)</f>
        <v>0</v>
      </c>
      <c r="M37">
        <f>COUNTIF(tblRiskTreatmentPrograms[Estimated Start Date (MM/DD/YYYY)],M$35)</f>
        <v>0</v>
      </c>
      <c r="N37">
        <f>COUNTIF(tblRiskTreatmentPrograms[Estimated Start Date (MM/DD/YYYY)],N$35)</f>
        <v>0</v>
      </c>
      <c r="O37">
        <f>COUNTIF(tblRiskTreatmentPrograms[Estimated Start Date (MM/DD/YYYY)],O$35)</f>
        <v>0</v>
      </c>
      <c r="P37">
        <f>COUNTIF(tblRiskTreatmentPrograms[Estimated Start Date (MM/DD/YYYY)],P$35)</f>
        <v>0</v>
      </c>
      <c r="Q37">
        <f>COUNTIF(tblRiskTreatmentPrograms[Estimated Start Date (MM/DD/YYYY)],Q$35)</f>
        <v>0</v>
      </c>
      <c r="R37">
        <f>COUNTIF(tblRiskTreatmentPrograms[Estimated Start Date (MM/DD/YYYY)],R$35)</f>
        <v>0</v>
      </c>
      <c r="S37">
        <f>COUNTIF(tblRiskTreatmentPrograms[Estimated Start Date (MM/DD/YYYY)],S$35)</f>
        <v>0</v>
      </c>
      <c r="T37">
        <f>COUNTIF(tblRiskTreatmentPrograms[Estimated Start Date (MM/DD/YYYY)],T$35)</f>
        <v>0</v>
      </c>
    </row>
    <row r="38" spans="3:20" x14ac:dyDescent="0.45">
      <c r="C38" t="e">
        <f t="shared" si="2"/>
        <v>#N/A</v>
      </c>
      <c r="G38" s="110" t="s">
        <v>1059</v>
      </c>
      <c r="H38" s="54">
        <f>COUNTIF(tblRiskTreatmentPrograms[Estimated End Date (MM/DD/YYYY)],H$35)*-1</f>
        <v>0</v>
      </c>
      <c r="I38" s="54">
        <f>COUNTIF(tblRiskTreatmentPrograms[Estimated End Date (MM/DD/YYYY)],I$35)*-1</f>
        <v>0</v>
      </c>
      <c r="J38" s="54">
        <f>COUNTIF(tblRiskTreatmentPrograms[Estimated End Date (MM/DD/YYYY)],J$35)*-1</f>
        <v>0</v>
      </c>
      <c r="K38" s="54">
        <f>COUNTIF(tblRiskTreatmentPrograms[Estimated End Date (MM/DD/YYYY)],K$35)*-1</f>
        <v>0</v>
      </c>
      <c r="L38" s="54">
        <f>COUNTIF(tblRiskTreatmentPrograms[Estimated End Date (MM/DD/YYYY)],L$35)*-1</f>
        <v>0</v>
      </c>
      <c r="M38" s="54">
        <f>COUNTIF(tblRiskTreatmentPrograms[Estimated End Date (MM/DD/YYYY)],M$35)*-1</f>
        <v>0</v>
      </c>
      <c r="N38" s="54">
        <f>COUNTIF(tblRiskTreatmentPrograms[Estimated End Date (MM/DD/YYYY)],N$35)*-1</f>
        <v>0</v>
      </c>
      <c r="O38" s="54">
        <f>COUNTIF(tblRiskTreatmentPrograms[Estimated End Date (MM/DD/YYYY)],O$35)*-1</f>
        <v>0</v>
      </c>
      <c r="P38" s="54">
        <f>COUNTIF(tblRiskTreatmentPrograms[Estimated End Date (MM/DD/YYYY)],P$35)*-1</f>
        <v>0</v>
      </c>
      <c r="Q38" s="54">
        <f>COUNTIF(tblRiskTreatmentPrograms[Estimated End Date (MM/DD/YYYY)],Q$35)*-1</f>
        <v>0</v>
      </c>
      <c r="R38" s="54">
        <f>COUNTIF(tblRiskTreatmentPrograms[Estimated End Date (MM/DD/YYYY)],R$35)*-1</f>
        <v>0</v>
      </c>
      <c r="S38" s="54">
        <f>COUNTIF(tblRiskTreatmentPrograms[Estimated End Date (MM/DD/YYYY)],S$35)*-1</f>
        <v>0</v>
      </c>
      <c r="T38" s="54">
        <f>COUNTIF(tblRiskTreatmentPrograms[Estimated End Date (MM/DD/YYYY)],T$35)*-1</f>
        <v>0</v>
      </c>
    </row>
    <row r="39" spans="3:20" x14ac:dyDescent="0.45">
      <c r="C39" t="e">
        <f t="shared" si="2"/>
        <v>#N/A</v>
      </c>
      <c r="G39" s="110" t="s">
        <v>1069</v>
      </c>
      <c r="H39" s="54">
        <f>H37+H38</f>
        <v>0</v>
      </c>
      <c r="I39" s="54">
        <f>H39+I37+I38</f>
        <v>0</v>
      </c>
      <c r="J39" s="54">
        <f t="shared" ref="J39:T39" si="3">I39+J37+J38</f>
        <v>0</v>
      </c>
      <c r="K39" s="54">
        <f t="shared" si="3"/>
        <v>0</v>
      </c>
      <c r="L39" s="54">
        <f t="shared" si="3"/>
        <v>0</v>
      </c>
      <c r="M39" s="54">
        <f t="shared" si="3"/>
        <v>0</v>
      </c>
      <c r="N39" s="54">
        <f t="shared" si="3"/>
        <v>0</v>
      </c>
      <c r="O39" s="54">
        <f t="shared" si="3"/>
        <v>0</v>
      </c>
      <c r="P39" s="54">
        <f t="shared" si="3"/>
        <v>0</v>
      </c>
      <c r="Q39" s="54">
        <f t="shared" si="3"/>
        <v>0</v>
      </c>
      <c r="R39" s="54">
        <f t="shared" si="3"/>
        <v>0</v>
      </c>
      <c r="S39" s="54">
        <f t="shared" si="3"/>
        <v>0</v>
      </c>
      <c r="T39" s="54">
        <f t="shared" si="3"/>
        <v>0</v>
      </c>
    </row>
    <row r="40" spans="3:20" x14ac:dyDescent="0.45">
      <c r="C40" t="e">
        <f t="shared" si="2"/>
        <v>#N/A</v>
      </c>
      <c r="G40" s="110" t="s">
        <v>1060</v>
      </c>
      <c r="H40" s="112">
        <v>0</v>
      </c>
      <c r="I40" s="112">
        <v>0</v>
      </c>
      <c r="J40" s="112">
        <v>0</v>
      </c>
      <c r="K40" s="112">
        <v>0</v>
      </c>
      <c r="L40" s="112">
        <v>0</v>
      </c>
      <c r="M40" s="112">
        <v>0</v>
      </c>
      <c r="N40" s="112">
        <v>0</v>
      </c>
      <c r="O40" s="112">
        <v>0</v>
      </c>
      <c r="P40" s="112">
        <v>0</v>
      </c>
      <c r="Q40" s="112">
        <v>0</v>
      </c>
      <c r="R40" s="112">
        <v>0</v>
      </c>
      <c r="S40" s="112">
        <v>0</v>
      </c>
      <c r="T40" s="112">
        <v>0</v>
      </c>
    </row>
    <row r="41" spans="3:20" x14ac:dyDescent="0.45">
      <c r="C41" t="e">
        <f t="shared" si="2"/>
        <v>#N/A</v>
      </c>
      <c r="G41" s="110" t="s">
        <v>1061</v>
      </c>
      <c r="H41" s="112">
        <v>0</v>
      </c>
      <c r="I41" s="112">
        <v>0</v>
      </c>
      <c r="J41" s="112">
        <v>0</v>
      </c>
      <c r="K41" s="112">
        <v>0</v>
      </c>
      <c r="L41" s="112">
        <v>0</v>
      </c>
      <c r="M41" s="112">
        <v>0</v>
      </c>
      <c r="N41" s="112">
        <v>0</v>
      </c>
      <c r="O41" s="112">
        <v>0</v>
      </c>
      <c r="P41" s="112">
        <v>0</v>
      </c>
      <c r="Q41" s="112">
        <v>0</v>
      </c>
      <c r="R41" s="112">
        <v>0</v>
      </c>
      <c r="S41" s="112">
        <v>0</v>
      </c>
      <c r="T41" s="112">
        <v>0</v>
      </c>
    </row>
    <row r="42" spans="3:20" x14ac:dyDescent="0.45">
      <c r="C42" t="e">
        <f t="shared" si="2"/>
        <v>#N/A</v>
      </c>
    </row>
    <row r="43" spans="3:20" x14ac:dyDescent="0.45">
      <c r="C43" t="e">
        <f t="shared" si="2"/>
        <v>#N/A</v>
      </c>
    </row>
    <row r="44" spans="3:20" x14ac:dyDescent="0.45">
      <c r="C44" t="e">
        <f t="shared" si="2"/>
        <v>#N/A</v>
      </c>
    </row>
    <row r="45" spans="3:20" x14ac:dyDescent="0.45">
      <c r="C45" t="e">
        <f t="shared" si="2"/>
        <v>#N/A</v>
      </c>
    </row>
    <row r="46" spans="3:20" x14ac:dyDescent="0.45">
      <c r="C46" t="e">
        <f t="shared" si="2"/>
        <v>#N/A</v>
      </c>
    </row>
    <row r="47" spans="3:20" x14ac:dyDescent="0.45">
      <c r="C47" t="e">
        <f t="shared" si="2"/>
        <v>#N/A</v>
      </c>
      <c r="L47" s="40"/>
    </row>
    <row r="51" spans="3:8" ht="24.6" customHeight="1" x14ac:dyDescent="0.45">
      <c r="C51" s="336" t="s">
        <v>1070</v>
      </c>
      <c r="D51" s="336"/>
      <c r="E51" s="336"/>
      <c r="F51" s="336"/>
      <c r="G51" s="336"/>
      <c r="H51" s="336"/>
    </row>
    <row r="53" spans="3:8" ht="28.9" thickBot="1" x14ac:dyDescent="0.5">
      <c r="C53" s="188" t="s">
        <v>881</v>
      </c>
      <c r="D53" s="186" t="s">
        <v>71</v>
      </c>
      <c r="E53" s="185" t="s">
        <v>1066</v>
      </c>
      <c r="F53" s="187" t="s">
        <v>1067</v>
      </c>
    </row>
    <row r="54" spans="3:8" ht="14.65" thickTop="1" x14ac:dyDescent="0.45">
      <c r="C54" s="176">
        <v>2</v>
      </c>
      <c r="D54" s="189">
        <f t="shared" ref="D54" si="4">valALR</f>
        <v>9</v>
      </c>
      <c r="E54" s="189">
        <f>valCLR-valALR</f>
        <v>6</v>
      </c>
      <c r="F54" s="190">
        <f>25-tblKRIBounds[[#This Row],[High Risk Bar]]-tblKRIBounds[[#This Row],[Acceptable Level of Risk]]</f>
        <v>10</v>
      </c>
    </row>
  </sheetData>
  <mergeCells count="4">
    <mergeCell ref="C3:H3"/>
    <mergeCell ref="C15:H15"/>
    <mergeCell ref="C32:H32"/>
    <mergeCell ref="C51:H51"/>
  </mergeCells>
  <dataValidations count="2">
    <dataValidation type="list" allowBlank="1" showInputMessage="1" showErrorMessage="1" sqref="D6 H6:T6 H36:T36" xr:uid="{F4FFD30E-B061-467C-BD89-7E3C37B79294}">
      <formula1>lstDates</formula1>
    </dataValidation>
    <dataValidation type="list" allowBlank="1" showInputMessage="1" showErrorMessage="1" sqref="D34:D35" xr:uid="{59295DF2-AE1E-4038-AFEC-D55BBCDCA854}">
      <formula1>Estimated_End_Date</formula1>
    </dataValidation>
  </dataValidations>
  <pageMargins left="0.7" right="0.7" top="0.75" bottom="0.75" header="0.3" footer="0.3"/>
  <tableParts count="3">
    <tablePart r:id="rId1"/>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A9768-2BCF-41F2-B77F-C0E725AFEA11}">
  <sheetPr codeName="Sheet10">
    <tabColor theme="7" tint="-0.249977111117893"/>
  </sheetPr>
  <dimension ref="B3:AS81"/>
  <sheetViews>
    <sheetView showGridLines="0" topLeftCell="V1" zoomScale="40" zoomScaleNormal="40" workbookViewId="0">
      <selection activeCell="AG6" sqref="AG6"/>
    </sheetView>
  </sheetViews>
  <sheetFormatPr defaultRowHeight="14.25" x14ac:dyDescent="0.45"/>
  <cols>
    <col min="2" max="2" width="3.73046875" customWidth="1"/>
    <col min="3" max="3" width="3.86328125" customWidth="1"/>
    <col min="4" max="4" width="78.73046875" customWidth="1"/>
    <col min="5" max="5" width="3.73046875" customWidth="1"/>
    <col min="6" max="6" width="50.73046875" customWidth="1"/>
    <col min="7" max="7" width="3.73046875" customWidth="1"/>
    <col min="8" max="8" width="110.73046875" customWidth="1"/>
    <col min="9" max="11" width="3.73046875" customWidth="1"/>
    <col min="15" max="15" width="14.265625" customWidth="1"/>
    <col min="16" max="16" width="9.86328125" customWidth="1"/>
    <col min="17" max="17" width="25.73046875" customWidth="1"/>
    <col min="18" max="18" width="3.73046875" customWidth="1"/>
    <col min="19" max="19" width="78.73046875" customWidth="1"/>
    <col min="20" max="20" width="3.73046875" customWidth="1"/>
    <col min="21" max="21" width="50.73046875" customWidth="1"/>
    <col min="22" max="22" width="8.73046875" customWidth="1"/>
    <col min="23" max="23" width="25.73046875" customWidth="1"/>
    <col min="24" max="24" width="3.73046875" customWidth="1"/>
    <col min="25" max="25" width="78.73046875" customWidth="1"/>
    <col min="26" max="26" width="3.73046875" customWidth="1"/>
    <col min="27" max="27" width="50.73046875" customWidth="1"/>
    <col min="28" max="28" width="3.73046875" customWidth="1"/>
    <col min="29" max="29" width="25.73046875" customWidth="1"/>
    <col min="30" max="30" width="3.73046875" customWidth="1"/>
    <col min="31" max="31" width="78.73046875" customWidth="1"/>
    <col min="32" max="32" width="3.73046875" customWidth="1"/>
    <col min="33" max="33" width="50.73046875" customWidth="1"/>
    <col min="34" max="34" width="3.73046875" customWidth="1"/>
    <col min="35" max="35" width="110.73046875" customWidth="1"/>
    <col min="36" max="36" width="8.73046875" customWidth="1"/>
    <col min="37" max="37" width="25.73046875" customWidth="1"/>
    <col min="38" max="38" width="3.73046875" customWidth="1"/>
    <col min="39" max="39" width="78.73046875" customWidth="1"/>
    <col min="40" max="40" width="3.73046875" customWidth="1"/>
    <col min="41" max="41" width="50.73046875" customWidth="1"/>
    <col min="42" max="42" width="3.73046875" customWidth="1"/>
    <col min="43" max="43" width="110.73046875" customWidth="1"/>
    <col min="46" max="51" width="8.73046875" customWidth="1"/>
    <col min="52" max="52" width="23.86328125" customWidth="1"/>
    <col min="53" max="82" width="8.73046875" customWidth="1"/>
  </cols>
  <sheetData>
    <row r="3" spans="2:45" ht="14.65" thickBot="1" x14ac:dyDescent="0.5"/>
    <row r="4" spans="2:45" x14ac:dyDescent="0.45">
      <c r="B4" s="121"/>
      <c r="C4" s="122"/>
      <c r="D4" s="122"/>
      <c r="E4" s="122"/>
      <c r="F4" s="122"/>
      <c r="G4" s="122"/>
      <c r="H4" s="122"/>
      <c r="I4" s="122"/>
      <c r="J4" s="123"/>
      <c r="AA4" s="121"/>
      <c r="AB4" s="122"/>
      <c r="AC4" s="122"/>
      <c r="AD4" s="122"/>
      <c r="AE4" s="122"/>
      <c r="AF4" s="122"/>
      <c r="AG4" s="122"/>
      <c r="AH4" s="122"/>
      <c r="AI4" s="122"/>
      <c r="AJ4" s="122"/>
      <c r="AK4" s="122"/>
      <c r="AL4" s="122"/>
      <c r="AM4" s="122"/>
      <c r="AN4" s="122"/>
      <c r="AO4" s="122"/>
      <c r="AP4" s="122"/>
      <c r="AQ4" s="122"/>
      <c r="AR4" s="122"/>
      <c r="AS4" s="123"/>
    </row>
    <row r="5" spans="2:45" x14ac:dyDescent="0.45">
      <c r="B5" s="124"/>
      <c r="J5" s="128"/>
      <c r="AA5" s="124"/>
      <c r="AS5" s="128"/>
    </row>
    <row r="6" spans="2:45" ht="70.5" customHeight="1" x14ac:dyDescent="1.75">
      <c r="B6" s="124"/>
      <c r="D6" s="138" t="s">
        <v>57</v>
      </c>
      <c r="E6" s="120"/>
      <c r="F6" s="138" t="s">
        <v>886</v>
      </c>
      <c r="G6" s="120"/>
      <c r="H6" s="138" t="s">
        <v>883</v>
      </c>
      <c r="J6" s="128"/>
      <c r="AA6" s="124"/>
      <c r="AC6" s="144" t="s">
        <v>885</v>
      </c>
      <c r="AE6" s="138" t="s">
        <v>57</v>
      </c>
      <c r="AF6" s="120"/>
      <c r="AG6" s="138" t="s">
        <v>886</v>
      </c>
      <c r="AH6" s="120"/>
      <c r="AI6" s="138" t="s">
        <v>883</v>
      </c>
      <c r="AK6" s="144" t="s">
        <v>885</v>
      </c>
      <c r="AM6" s="138" t="s">
        <v>57</v>
      </c>
      <c r="AN6" s="120"/>
      <c r="AO6" s="138" t="s">
        <v>886</v>
      </c>
      <c r="AP6" s="120"/>
      <c r="AQ6" s="138" t="s">
        <v>883</v>
      </c>
      <c r="AS6" s="128"/>
    </row>
    <row r="7" spans="2:45" x14ac:dyDescent="0.45">
      <c r="B7" s="124"/>
      <c r="J7" s="128"/>
      <c r="AA7" s="124"/>
      <c r="AS7" s="128"/>
    </row>
    <row r="8" spans="2:45" ht="160.15" customHeight="1" x14ac:dyDescent="0.45">
      <c r="B8" s="124"/>
      <c r="D8" s="140" t="str">
        <f>'KRI Analytics'!$C$19</f>
        <v>Physical Facility</v>
      </c>
      <c r="F8" s="141">
        <f>VLOOKUP(D8,tblDefensePreparedness[],2,FALSE)</f>
        <v>0.53174603174603174</v>
      </c>
      <c r="H8" s="34"/>
      <c r="J8" s="128"/>
      <c r="AA8" s="124"/>
      <c r="AC8" s="145">
        <v>1</v>
      </c>
      <c r="AE8" s="140" t="str">
        <f>'KRI Analytics'!$C$19</f>
        <v>Physical Facility</v>
      </c>
      <c r="AG8" s="141">
        <f>VLOOKUP(AE8,tblHIT[],3,FALSE)</f>
        <v>0.53174603174603174</v>
      </c>
      <c r="AK8" s="145">
        <v>6</v>
      </c>
      <c r="AM8" s="140" t="str">
        <f>'KRI Analytics'!$C$24</f>
        <v>Hacking System</v>
      </c>
      <c r="AO8" s="141">
        <f>VLOOKUP(AM8,tblHIT[],3,FALSE)</f>
        <v>0.21428571428571427</v>
      </c>
      <c r="AS8" s="128"/>
    </row>
    <row r="9" spans="2:45" ht="30" customHeight="1" x14ac:dyDescent="0.45">
      <c r="B9" s="124"/>
      <c r="D9" s="116"/>
      <c r="J9" s="128"/>
      <c r="AA9" s="124"/>
      <c r="AC9" s="146"/>
      <c r="AE9" s="116"/>
      <c r="AK9" s="146"/>
      <c r="AM9" s="116"/>
      <c r="AS9" s="128"/>
    </row>
    <row r="10" spans="2:45" ht="160.15" customHeight="1" x14ac:dyDescent="0.45">
      <c r="B10" s="124"/>
      <c r="D10" s="140" t="str">
        <f>'KRI Analytics'!$C$20</f>
        <v>POS</v>
      </c>
      <c r="F10" s="141">
        <f>VLOOKUP(D10,tblDefensePreparedness[],2,FALSE)</f>
        <v>0.44444444444444442</v>
      </c>
      <c r="J10" s="128"/>
      <c r="AA10" s="124"/>
      <c r="AC10" s="145">
        <v>2</v>
      </c>
      <c r="AE10" s="140" t="str">
        <f>'KRI Analytics'!$C$20</f>
        <v>POS</v>
      </c>
      <c r="AG10" s="141">
        <f>VLOOKUP(AE10,tblHIT[],3,FALSE)</f>
        <v>0.44444444444444442</v>
      </c>
      <c r="AK10" s="145">
        <v>7</v>
      </c>
      <c r="AM10" s="140" t="str">
        <f>'KRI Analytics'!$C$25</f>
        <v>Social Engineering</v>
      </c>
      <c r="AO10" s="141">
        <f>VLOOKUP(AM10,tblHIT[],3,FALSE)</f>
        <v>0.11904761904761904</v>
      </c>
      <c r="AS10" s="128"/>
    </row>
    <row r="11" spans="2:45" ht="30" customHeight="1" x14ac:dyDescent="0.45">
      <c r="B11" s="124"/>
      <c r="D11" s="116"/>
      <c r="J11" s="128"/>
      <c r="AA11" s="124"/>
      <c r="AC11" s="146"/>
      <c r="AE11" s="116"/>
      <c r="AK11" s="146"/>
      <c r="AM11" s="116"/>
      <c r="AS11" s="128"/>
    </row>
    <row r="12" spans="2:45" ht="160.15" customHeight="1" x14ac:dyDescent="0.45">
      <c r="B12" s="124"/>
      <c r="D12" s="140" t="str">
        <f>'KRI Analytics'!$C$21</f>
        <v>Physical Asset Loss</v>
      </c>
      <c r="F12" s="141">
        <f>VLOOKUP(D12,tblDefensePreparedness[],2,FALSE)</f>
        <v>0.3968253968253968</v>
      </c>
      <c r="J12" s="128"/>
      <c r="AA12" s="124"/>
      <c r="AC12" s="145">
        <v>3</v>
      </c>
      <c r="AE12" s="140" t="str">
        <f>'KRI Analytics'!$C$21</f>
        <v>Physical Asset Loss</v>
      </c>
      <c r="AG12" s="141">
        <f>VLOOKUP(AE12,tblHIT[],3,FALSE)</f>
        <v>0.3968253968253968</v>
      </c>
      <c r="AK12" s="145">
        <v>8</v>
      </c>
      <c r="AM12" s="140" t="str">
        <f>'KRI Analytics'!$C$26</f>
        <v>Hacking Web</v>
      </c>
      <c r="AO12" s="141">
        <f>VLOOKUP(AM12,tblHIT[],3,FALSE)</f>
        <v>7.1428571428571425E-2</v>
      </c>
      <c r="AS12" s="128"/>
    </row>
    <row r="13" spans="2:45" ht="30" customHeight="1" x14ac:dyDescent="0.45">
      <c r="B13" s="124"/>
      <c r="D13" s="116"/>
      <c r="J13" s="128"/>
      <c r="AA13" s="124"/>
      <c r="AC13" s="146"/>
      <c r="AE13" s="116"/>
      <c r="AK13" s="146"/>
      <c r="AM13" s="116"/>
      <c r="AS13" s="128"/>
    </row>
    <row r="14" spans="2:45" ht="160.15" customHeight="1" x14ac:dyDescent="0.45">
      <c r="B14" s="124"/>
      <c r="D14" s="140" t="str">
        <f>'KRI Analytics'!$C$22</f>
        <v>Personnel Error</v>
      </c>
      <c r="F14" s="141">
        <f>VLOOKUP(D14,tblDefensePreparedness[],2,FALSE)</f>
        <v>0.31746031746031744</v>
      </c>
      <c r="J14" s="128"/>
      <c r="AA14" s="124"/>
      <c r="AC14" s="145">
        <v>4</v>
      </c>
      <c r="AE14" s="140" t="str">
        <f>'KRI Analytics'!$C$22</f>
        <v>Personnel Error</v>
      </c>
      <c r="AG14" s="141">
        <f>VLOOKUP(AE14,tblHIT[],3,FALSE)</f>
        <v>0.31746031746031744</v>
      </c>
      <c r="AK14" s="145">
        <v>9</v>
      </c>
      <c r="AM14" s="140" t="str">
        <f>'KRI Analytics'!$C$27</f>
        <v>Malware</v>
      </c>
      <c r="AO14" s="141">
        <f>VLOOKUP(AM14,tblHIT[],3,FALSE)</f>
        <v>6.3492063492063489E-2</v>
      </c>
      <c r="AS14" s="128"/>
    </row>
    <row r="15" spans="2:45" ht="30" customHeight="1" x14ac:dyDescent="0.45">
      <c r="B15" s="124"/>
      <c r="D15" s="116"/>
      <c r="J15" s="128"/>
      <c r="AA15" s="124"/>
      <c r="AC15" s="146"/>
      <c r="AE15" s="116"/>
      <c r="AK15" s="146"/>
      <c r="AM15" s="116"/>
      <c r="AS15" s="128"/>
    </row>
    <row r="16" spans="2:45" ht="160.15" customHeight="1" x14ac:dyDescent="0.45">
      <c r="B16" s="124"/>
      <c r="D16" s="140" t="str">
        <f>'KRI Analytics'!$C$23</f>
        <v>Personnel Misuse</v>
      </c>
      <c r="F16" s="141">
        <f>VLOOKUP(D16,tblDefensePreparedness[],2,FALSE)</f>
        <v>0.25396825396825395</v>
      </c>
      <c r="J16" s="128"/>
      <c r="AA16" s="124"/>
      <c r="AC16" s="145">
        <v>5</v>
      </c>
      <c r="AE16" s="140" t="str">
        <f>'KRI Analytics'!$C$23</f>
        <v>Personnel Misuse</v>
      </c>
      <c r="AG16" s="141">
        <f>VLOOKUP(AE16,tblHIT[],3,FALSE)</f>
        <v>0.25396825396825395</v>
      </c>
      <c r="AK16" s="145">
        <v>10</v>
      </c>
      <c r="AM16" s="140" t="str">
        <f>'KRI Analytics'!$C$28</f>
        <v>System Failure</v>
      </c>
      <c r="AO16" s="141">
        <f>VLOOKUP(AM16,tblHIT[],3,FALSE)</f>
        <v>0</v>
      </c>
      <c r="AS16" s="128"/>
    </row>
    <row r="17" spans="2:45" ht="30" customHeight="1" x14ac:dyDescent="0.45">
      <c r="B17" s="124"/>
      <c r="J17" s="128"/>
      <c r="AA17" s="124"/>
      <c r="AS17" s="128"/>
    </row>
    <row r="18" spans="2:45" ht="160.15" customHeight="1" thickBot="1" x14ac:dyDescent="0.5">
      <c r="B18" s="124"/>
      <c r="D18" s="140" t="str">
        <f>'KRI Analytics'!$C$24</f>
        <v>Hacking System</v>
      </c>
      <c r="F18" s="141">
        <f>VLOOKUP(D18,tblDefensePreparedness[],2,FALSE)</f>
        <v>0.21428571428571427</v>
      </c>
      <c r="J18" s="128"/>
      <c r="AA18" s="125"/>
      <c r="AB18" s="126"/>
      <c r="AC18" s="126"/>
      <c r="AD18" s="126"/>
      <c r="AE18" s="126"/>
      <c r="AF18" s="126"/>
      <c r="AG18" s="126"/>
      <c r="AH18" s="126"/>
      <c r="AI18" s="126"/>
      <c r="AJ18" s="126"/>
      <c r="AK18" s="126"/>
      <c r="AL18" s="126"/>
      <c r="AM18" s="126"/>
      <c r="AN18" s="126"/>
      <c r="AO18" s="126"/>
      <c r="AP18" s="126"/>
      <c r="AQ18" s="126"/>
      <c r="AR18" s="126"/>
      <c r="AS18" s="127"/>
    </row>
    <row r="19" spans="2:45" ht="30" customHeight="1" x14ac:dyDescent="0.45">
      <c r="B19" s="124"/>
      <c r="D19" s="116"/>
      <c r="J19" s="128"/>
    </row>
    <row r="20" spans="2:45" ht="160.15" customHeight="1" x14ac:dyDescent="0.45">
      <c r="B20" s="124"/>
      <c r="D20" s="140" t="str">
        <f>'KRI Analytics'!$C$25</f>
        <v>Social Engineering</v>
      </c>
      <c r="F20" s="141">
        <f>VLOOKUP(D20,tblDefensePreparedness[],2,FALSE)</f>
        <v>0.11904761904761904</v>
      </c>
      <c r="J20" s="128"/>
    </row>
    <row r="21" spans="2:45" ht="30" customHeight="1" x14ac:dyDescent="0.45">
      <c r="B21" s="124"/>
      <c r="D21" s="116"/>
      <c r="J21" s="128"/>
    </row>
    <row r="22" spans="2:45" ht="160.15" customHeight="1" x14ac:dyDescent="0.45">
      <c r="B22" s="124"/>
      <c r="D22" s="140" t="str">
        <f>'KRI Analytics'!$C$26</f>
        <v>Hacking Web</v>
      </c>
      <c r="F22" s="141">
        <f>VLOOKUP(D22,tblDefensePreparedness[],2,FALSE)</f>
        <v>7.1428571428571425E-2</v>
      </c>
      <c r="J22" s="128"/>
    </row>
    <row r="23" spans="2:45" ht="30" customHeight="1" x14ac:dyDescent="0.45">
      <c r="B23" s="124"/>
      <c r="D23" s="116"/>
      <c r="J23" s="128"/>
    </row>
    <row r="24" spans="2:45" ht="160.15" customHeight="1" x14ac:dyDescent="0.45">
      <c r="B24" s="124"/>
      <c r="D24" s="140" t="str">
        <f>'KRI Analytics'!$C$27</f>
        <v>Malware</v>
      </c>
      <c r="F24" s="141">
        <f>VLOOKUP(D24,tblDefensePreparedness[],2,FALSE)</f>
        <v>6.3492063492063489E-2</v>
      </c>
      <c r="J24" s="128"/>
    </row>
    <row r="25" spans="2:45" ht="30" customHeight="1" x14ac:dyDescent="0.45">
      <c r="B25" s="124"/>
      <c r="D25" s="116"/>
      <c r="J25" s="128"/>
    </row>
    <row r="26" spans="2:45" ht="160.15" customHeight="1" x14ac:dyDescent="0.45">
      <c r="B26" s="124"/>
      <c r="D26" s="140" t="str">
        <f>'KRI Analytics'!$C$28</f>
        <v>System Failure</v>
      </c>
      <c r="F26" s="141">
        <f>VLOOKUP(D26,tblDefensePreparedness[],2,FALSE)</f>
        <v>0</v>
      </c>
      <c r="J26" s="128"/>
    </row>
    <row r="27" spans="2:45" x14ac:dyDescent="0.45">
      <c r="B27" s="124"/>
      <c r="J27" s="128"/>
    </row>
    <row r="28" spans="2:45" ht="14.65" thickBot="1" x14ac:dyDescent="0.5">
      <c r="B28" s="125"/>
      <c r="C28" s="126"/>
      <c r="D28" s="126"/>
      <c r="E28" s="126"/>
      <c r="F28" s="126"/>
      <c r="G28" s="126"/>
      <c r="H28" s="126"/>
      <c r="I28" s="126"/>
      <c r="J28" s="127"/>
    </row>
    <row r="30" spans="2:45" ht="14.65" thickBot="1" x14ac:dyDescent="0.5"/>
    <row r="31" spans="2:45" x14ac:dyDescent="0.45">
      <c r="B31" s="130"/>
      <c r="C31" s="137"/>
      <c r="D31" s="137"/>
      <c r="E31" s="137"/>
      <c r="F31" s="137"/>
      <c r="G31" s="137"/>
      <c r="H31" s="131"/>
      <c r="O31" s="121"/>
      <c r="P31" s="122"/>
      <c r="Q31" s="122"/>
      <c r="R31" s="122"/>
      <c r="S31" s="122"/>
      <c r="T31" s="122"/>
      <c r="U31" s="122"/>
      <c r="V31" s="122"/>
      <c r="W31" s="122"/>
      <c r="X31" s="122"/>
      <c r="Y31" s="122"/>
      <c r="Z31" s="122"/>
      <c r="AA31" s="122"/>
      <c r="AB31" s="122"/>
      <c r="AC31" s="122"/>
      <c r="AD31" s="122"/>
      <c r="AE31" s="123"/>
    </row>
    <row r="32" spans="2:45" x14ac:dyDescent="0.45">
      <c r="B32" s="132"/>
      <c r="H32" s="133"/>
      <c r="O32" s="124"/>
      <c r="AE32" s="128"/>
    </row>
    <row r="33" spans="2:31" ht="61.15" x14ac:dyDescent="1.75">
      <c r="B33" s="132"/>
      <c r="D33" s="138" t="s">
        <v>57</v>
      </c>
      <c r="E33" s="120"/>
      <c r="F33" s="139" t="s">
        <v>886</v>
      </c>
      <c r="H33" s="133"/>
      <c r="O33" s="124"/>
      <c r="Q33" s="144" t="s">
        <v>885</v>
      </c>
      <c r="S33" s="138" t="s">
        <v>57</v>
      </c>
      <c r="T33" s="120"/>
      <c r="U33" s="139" t="s">
        <v>886</v>
      </c>
      <c r="W33" s="144" t="s">
        <v>885</v>
      </c>
      <c r="Y33" s="138" t="s">
        <v>57</v>
      </c>
      <c r="Z33" s="120"/>
      <c r="AA33" s="139" t="s">
        <v>886</v>
      </c>
      <c r="AE33" s="128"/>
    </row>
    <row r="34" spans="2:31" ht="20.100000000000001" customHeight="1" x14ac:dyDescent="0.45">
      <c r="B34" s="132"/>
      <c r="H34" s="133"/>
      <c r="O34" s="124"/>
      <c r="AE34" s="128"/>
    </row>
    <row r="35" spans="2:31" ht="140.1" customHeight="1" x14ac:dyDescent="0.45">
      <c r="B35" s="132"/>
      <c r="D35" s="140" t="str">
        <f>'KRI Analytics'!$C$19</f>
        <v>Physical Facility</v>
      </c>
      <c r="E35" s="337"/>
      <c r="F35" s="142">
        <f>VLOOKUP(D35,tblDefensePreparedness[],2,FALSE)</f>
        <v>0.53174603174603174</v>
      </c>
      <c r="H35" s="133"/>
      <c r="O35" s="124"/>
      <c r="Q35" s="145">
        <v>1</v>
      </c>
      <c r="S35" s="140" t="str">
        <f>'KRI Analytics'!$C$19</f>
        <v>Physical Facility</v>
      </c>
      <c r="U35" s="142">
        <f>VLOOKUP(S35,tblDefensePreparedness[],2,FALSE)</f>
        <v>0.53174603174603174</v>
      </c>
      <c r="W35" s="145">
        <v>6</v>
      </c>
      <c r="Y35" s="140" t="str">
        <f>'KRI Analytics'!$C$24</f>
        <v>Hacking System</v>
      </c>
      <c r="AA35" s="142">
        <f>VLOOKUP(Y35,tblDefensePreparedness[],2,FALSE)</f>
        <v>0.21428571428571427</v>
      </c>
      <c r="AE35" s="128"/>
    </row>
    <row r="36" spans="2:31" ht="20.100000000000001" customHeight="1" x14ac:dyDescent="0.45">
      <c r="B36" s="132"/>
      <c r="D36" s="116"/>
      <c r="E36" s="337"/>
      <c r="H36" s="133"/>
      <c r="O36" s="124"/>
      <c r="Q36" s="146"/>
      <c r="S36" s="116"/>
      <c r="W36" s="146"/>
      <c r="Y36" s="116"/>
      <c r="AE36" s="128"/>
    </row>
    <row r="37" spans="2:31" ht="140.1" customHeight="1" x14ac:dyDescent="0.45">
      <c r="B37" s="132"/>
      <c r="D37" s="140" t="str">
        <f>'KRI Analytics'!$C$20</f>
        <v>POS</v>
      </c>
      <c r="E37" s="337"/>
      <c r="F37" s="142">
        <f>VLOOKUP(D37,tblDefensePreparedness[],2,FALSE)</f>
        <v>0.44444444444444442</v>
      </c>
      <c r="H37" s="133"/>
      <c r="O37" s="124"/>
      <c r="Q37" s="145">
        <v>2</v>
      </c>
      <c r="S37" s="140" t="str">
        <f>'KRI Analytics'!$C$20</f>
        <v>POS</v>
      </c>
      <c r="U37" s="142">
        <f>VLOOKUP(S37,tblDefensePreparedness[],2,FALSE)</f>
        <v>0.44444444444444442</v>
      </c>
      <c r="W37" s="145">
        <v>7</v>
      </c>
      <c r="Y37" s="140" t="str">
        <f>'KRI Analytics'!$C$25</f>
        <v>Social Engineering</v>
      </c>
      <c r="AA37" s="142">
        <f>VLOOKUP(Y37,tblDefensePreparedness[],2,FALSE)</f>
        <v>0.11904761904761904</v>
      </c>
      <c r="AE37" s="128"/>
    </row>
    <row r="38" spans="2:31" ht="20.100000000000001" customHeight="1" x14ac:dyDescent="0.45">
      <c r="B38" s="132"/>
      <c r="D38" s="116"/>
      <c r="E38" s="337"/>
      <c r="H38" s="133"/>
      <c r="O38" s="124"/>
      <c r="Q38" s="146"/>
      <c r="S38" s="116"/>
      <c r="W38" s="146"/>
      <c r="Y38" s="116"/>
      <c r="AE38" s="128"/>
    </row>
    <row r="39" spans="2:31" ht="140.1" customHeight="1" x14ac:dyDescent="0.45">
      <c r="B39" s="132"/>
      <c r="D39" s="140" t="str">
        <f>'KRI Analytics'!$C$21</f>
        <v>Physical Asset Loss</v>
      </c>
      <c r="E39" s="337"/>
      <c r="F39" s="142">
        <f>VLOOKUP(D39,tblDefensePreparedness[],2,FALSE)</f>
        <v>0.3968253968253968</v>
      </c>
      <c r="H39" s="133"/>
      <c r="O39" s="124"/>
      <c r="Q39" s="145">
        <v>3</v>
      </c>
      <c r="S39" s="140" t="str">
        <f>'KRI Analytics'!$C$21</f>
        <v>Physical Asset Loss</v>
      </c>
      <c r="U39" s="142">
        <f>VLOOKUP(S39,tblDefensePreparedness[],2,FALSE)</f>
        <v>0.3968253968253968</v>
      </c>
      <c r="W39" s="145">
        <v>8</v>
      </c>
      <c r="Y39" s="140" t="str">
        <f>'KRI Analytics'!$C$26</f>
        <v>Hacking Web</v>
      </c>
      <c r="AA39" s="142">
        <f>VLOOKUP(Y39,tblDefensePreparedness[],2,FALSE)</f>
        <v>7.1428571428571425E-2</v>
      </c>
      <c r="AE39" s="128"/>
    </row>
    <row r="40" spans="2:31" ht="20.100000000000001" customHeight="1" x14ac:dyDescent="0.45">
      <c r="B40" s="132"/>
      <c r="D40" s="116"/>
      <c r="E40" s="337"/>
      <c r="H40" s="133"/>
      <c r="O40" s="124"/>
      <c r="Q40" s="146"/>
      <c r="S40" s="116"/>
      <c r="W40" s="146"/>
      <c r="Y40" s="116"/>
      <c r="AE40" s="128"/>
    </row>
    <row r="41" spans="2:31" ht="140.1" customHeight="1" x14ac:dyDescent="0.45">
      <c r="B41" s="132"/>
      <c r="D41" s="140" t="str">
        <f>'KRI Analytics'!$C$22</f>
        <v>Personnel Error</v>
      </c>
      <c r="E41" s="337"/>
      <c r="F41" s="142">
        <f>VLOOKUP(D41,tblDefensePreparedness[],2,FALSE)</f>
        <v>0.31746031746031744</v>
      </c>
      <c r="H41" s="133"/>
      <c r="O41" s="124"/>
      <c r="Q41" s="145">
        <v>4</v>
      </c>
      <c r="S41" s="140" t="str">
        <f>'KRI Analytics'!$C$22</f>
        <v>Personnel Error</v>
      </c>
      <c r="U41" s="142">
        <f>VLOOKUP(S41,tblDefensePreparedness[],2,FALSE)</f>
        <v>0.31746031746031744</v>
      </c>
      <c r="W41" s="145">
        <v>9</v>
      </c>
      <c r="Y41" s="140" t="str">
        <f>'KRI Analytics'!$C$27</f>
        <v>Malware</v>
      </c>
      <c r="AA41" s="142">
        <f>VLOOKUP(Y41,tblDefensePreparedness[],2,FALSE)</f>
        <v>6.3492063492063489E-2</v>
      </c>
      <c r="AE41" s="128"/>
    </row>
    <row r="42" spans="2:31" ht="20.100000000000001" customHeight="1" x14ac:dyDescent="0.45">
      <c r="B42" s="132"/>
      <c r="D42" s="116"/>
      <c r="E42" s="337"/>
      <c r="H42" s="133"/>
      <c r="O42" s="124"/>
      <c r="Q42" s="146"/>
      <c r="S42" s="116"/>
      <c r="W42" s="146"/>
      <c r="Y42" s="116"/>
      <c r="AE42" s="128"/>
    </row>
    <row r="43" spans="2:31" ht="140.1" customHeight="1" x14ac:dyDescent="0.45">
      <c r="B43" s="132"/>
      <c r="D43" s="140" t="str">
        <f>'KRI Analytics'!$C$23</f>
        <v>Personnel Misuse</v>
      </c>
      <c r="E43" s="337"/>
      <c r="F43" s="142">
        <f>VLOOKUP(D43,tblDefensePreparedness[],2,FALSE)</f>
        <v>0.25396825396825395</v>
      </c>
      <c r="H43" s="133"/>
      <c r="O43" s="124"/>
      <c r="Q43" s="145">
        <v>5</v>
      </c>
      <c r="S43" s="140" t="str">
        <f>'KRI Analytics'!$C$23</f>
        <v>Personnel Misuse</v>
      </c>
      <c r="U43" s="142">
        <f>VLOOKUP(S43,tblDefensePreparedness[],2,FALSE)</f>
        <v>0.25396825396825395</v>
      </c>
      <c r="W43" s="145">
        <v>10</v>
      </c>
      <c r="Y43" s="140" t="str">
        <f>'KRI Analytics'!$C$28</f>
        <v>System Failure</v>
      </c>
      <c r="AA43" s="142">
        <f>VLOOKUP(Y43,tblDefensePreparedness[],2,FALSE)</f>
        <v>0</v>
      </c>
      <c r="AE43" s="128"/>
    </row>
    <row r="44" spans="2:31" ht="20.100000000000001" customHeight="1" x14ac:dyDescent="0.45">
      <c r="B44" s="132"/>
      <c r="E44" s="337"/>
      <c r="H44" s="133"/>
      <c r="O44" s="124"/>
      <c r="AE44" s="128"/>
    </row>
    <row r="45" spans="2:31" ht="140.1" customHeight="1" thickBot="1" x14ac:dyDescent="0.5">
      <c r="B45" s="132"/>
      <c r="D45" s="140" t="str">
        <f>'KRI Analytics'!$C$24</f>
        <v>Hacking System</v>
      </c>
      <c r="E45" s="337"/>
      <c r="F45" s="142">
        <f>VLOOKUP(D45,tblDefensePreparedness[],2,FALSE)</f>
        <v>0.21428571428571427</v>
      </c>
      <c r="H45" s="133"/>
      <c r="O45" s="125"/>
      <c r="P45" s="126"/>
      <c r="Q45" s="126"/>
      <c r="R45" s="126"/>
      <c r="S45" s="126"/>
      <c r="T45" s="126"/>
      <c r="U45" s="126"/>
      <c r="V45" s="126"/>
      <c r="W45" s="126"/>
      <c r="X45" s="126"/>
      <c r="Y45" s="126"/>
      <c r="Z45" s="126"/>
      <c r="AA45" s="126"/>
      <c r="AB45" s="126"/>
      <c r="AC45" s="126"/>
      <c r="AD45" s="126"/>
      <c r="AE45" s="127"/>
    </row>
    <row r="46" spans="2:31" ht="20.100000000000001" customHeight="1" x14ac:dyDescent="0.45">
      <c r="B46" s="132"/>
      <c r="D46" s="116"/>
      <c r="E46" s="337"/>
      <c r="H46" s="133"/>
    </row>
    <row r="47" spans="2:31" ht="140.1" customHeight="1" x14ac:dyDescent="0.45">
      <c r="B47" s="132"/>
      <c r="D47" s="140" t="str">
        <f>'KRI Analytics'!$C$25</f>
        <v>Social Engineering</v>
      </c>
      <c r="E47" s="337"/>
      <c r="F47" s="142">
        <f>VLOOKUP(D47,tblDefensePreparedness[],2,FALSE)</f>
        <v>0.11904761904761904</v>
      </c>
      <c r="H47" s="133"/>
    </row>
    <row r="48" spans="2:31" ht="20.100000000000001" customHeight="1" x14ac:dyDescent="0.45">
      <c r="B48" s="132"/>
      <c r="D48" s="116"/>
      <c r="E48" s="337"/>
      <c r="H48" s="133"/>
    </row>
    <row r="49" spans="2:31" ht="140.1" customHeight="1" x14ac:dyDescent="0.45">
      <c r="B49" s="132"/>
      <c r="D49" s="140" t="str">
        <f>'KRI Analytics'!$C$26</f>
        <v>Hacking Web</v>
      </c>
      <c r="E49" s="337"/>
      <c r="F49" s="142">
        <f>VLOOKUP(D49,tblDefensePreparedness[],2,FALSE)</f>
        <v>7.1428571428571425E-2</v>
      </c>
      <c r="H49" s="133"/>
    </row>
    <row r="50" spans="2:31" ht="20.100000000000001" customHeight="1" x14ac:dyDescent="0.45">
      <c r="B50" s="132"/>
      <c r="D50" s="116"/>
      <c r="E50" s="337"/>
      <c r="H50" s="133"/>
    </row>
    <row r="51" spans="2:31" ht="140.1" customHeight="1" x14ac:dyDescent="0.45">
      <c r="B51" s="132"/>
      <c r="D51" s="140" t="str">
        <f>'KRI Analytics'!$C$27</f>
        <v>Malware</v>
      </c>
      <c r="E51" s="337"/>
      <c r="F51" s="142">
        <f>VLOOKUP(D51,tblDefensePreparedness[],2,FALSE)</f>
        <v>6.3492063492063489E-2</v>
      </c>
      <c r="H51" s="133"/>
    </row>
    <row r="52" spans="2:31" ht="20.100000000000001" customHeight="1" x14ac:dyDescent="0.45">
      <c r="B52" s="132"/>
      <c r="D52" s="116"/>
      <c r="E52" s="337"/>
      <c r="H52" s="133"/>
    </row>
    <row r="53" spans="2:31" ht="140.1" customHeight="1" x14ac:dyDescent="0.45">
      <c r="B53" s="132"/>
      <c r="D53" s="140" t="str">
        <f>'KRI Analytics'!$C$28</f>
        <v>System Failure</v>
      </c>
      <c r="E53" s="337"/>
      <c r="F53" s="142">
        <f>VLOOKUP(D53,tblDefensePreparedness[],2,FALSE)</f>
        <v>0</v>
      </c>
      <c r="H53" s="133"/>
    </row>
    <row r="54" spans="2:31" ht="20.100000000000001" customHeight="1" x14ac:dyDescent="0.45">
      <c r="B54" s="132"/>
      <c r="E54" s="337"/>
      <c r="H54" s="133"/>
    </row>
    <row r="55" spans="2:31" x14ac:dyDescent="0.45">
      <c r="B55" s="134"/>
      <c r="C55" s="135"/>
      <c r="D55" s="135"/>
      <c r="E55" s="135"/>
      <c r="F55" s="135"/>
      <c r="G55" s="135"/>
      <c r="H55" s="136"/>
    </row>
    <row r="56" spans="2:31" ht="14.65" thickBot="1" x14ac:dyDescent="0.5"/>
    <row r="57" spans="2:31" x14ac:dyDescent="0.45">
      <c r="B57" s="130"/>
      <c r="C57" s="137"/>
      <c r="D57" s="137"/>
      <c r="E57" s="137"/>
      <c r="F57" s="137"/>
      <c r="G57" s="137"/>
      <c r="H57" s="131"/>
      <c r="O57" s="121"/>
      <c r="P57" s="122"/>
      <c r="Q57" s="122"/>
      <c r="R57" s="122"/>
      <c r="S57" s="122"/>
      <c r="T57" s="122"/>
      <c r="U57" s="122"/>
      <c r="V57" s="122"/>
      <c r="W57" s="122"/>
      <c r="X57" s="122"/>
      <c r="Y57" s="122"/>
      <c r="Z57" s="122"/>
      <c r="AA57" s="122"/>
      <c r="AB57" s="122"/>
      <c r="AC57" s="122"/>
      <c r="AD57" s="122"/>
      <c r="AE57" s="123"/>
    </row>
    <row r="58" spans="2:31" x14ac:dyDescent="0.45">
      <c r="B58" s="132"/>
      <c r="H58" s="133"/>
      <c r="O58" s="124"/>
      <c r="AE58" s="128"/>
    </row>
    <row r="59" spans="2:31" ht="183.4" x14ac:dyDescent="1.75">
      <c r="B59" s="132"/>
      <c r="D59" s="138" t="s">
        <v>57</v>
      </c>
      <c r="E59" s="120"/>
      <c r="F59" s="139" t="s">
        <v>884</v>
      </c>
      <c r="H59" s="133"/>
      <c r="O59" s="124"/>
      <c r="Q59" s="144" t="s">
        <v>885</v>
      </c>
      <c r="S59" s="138" t="s">
        <v>57</v>
      </c>
      <c r="T59" s="120"/>
      <c r="U59" s="139" t="s">
        <v>884</v>
      </c>
      <c r="W59" s="144" t="s">
        <v>885</v>
      </c>
      <c r="Y59" s="138" t="s">
        <v>57</v>
      </c>
      <c r="Z59" s="120"/>
      <c r="AA59" s="139" t="s">
        <v>884</v>
      </c>
      <c r="AE59" s="128"/>
    </row>
    <row r="60" spans="2:31" ht="20.100000000000001" customHeight="1" x14ac:dyDescent="0.45">
      <c r="B60" s="132"/>
      <c r="H60" s="133"/>
      <c r="O60" s="124"/>
      <c r="AE60" s="128"/>
    </row>
    <row r="61" spans="2:31" ht="140.1" customHeight="1" x14ac:dyDescent="0.45">
      <c r="B61" s="132"/>
      <c r="D61" s="140" t="str">
        <f>'KRI Analytics'!$C$19</f>
        <v>Physical Facility</v>
      </c>
      <c r="E61" s="337"/>
      <c r="F61" s="143" t="str">
        <f>IFERROR(ROUNDDOWN(VLOOKUP(D61,tblDefensePreparedness[#Data],4,FALSE),1)&amp; " out of 5","Not Assessed")</f>
        <v>4.2 out of 5</v>
      </c>
      <c r="H61" s="133"/>
      <c r="O61" s="124"/>
      <c r="Q61" s="145">
        <v>1</v>
      </c>
      <c r="S61" s="140" t="str">
        <f>'KRI Analytics'!$C$19</f>
        <v>Physical Facility</v>
      </c>
      <c r="U61" s="147" t="str">
        <f>IFERROR(ROUNDDOWN(VLOOKUP(S61,tblDefensePreparedness[#Data],4,FALSE),1)&amp; " out of 5","Not Assessed")</f>
        <v>4.2 out of 5</v>
      </c>
      <c r="W61" s="145">
        <v>6</v>
      </c>
      <c r="Y61" s="140" t="str">
        <f>'KRI Analytics'!$C$24</f>
        <v>Hacking System</v>
      </c>
      <c r="AA61" s="147" t="str">
        <f>IFERROR(ROUNDDOWN(VLOOKUP(Y61,tblDefensePreparedness[#Data],4,FALSE),1)&amp; " out of 5","Not Assessed")</f>
        <v>3.8 out of 5</v>
      </c>
      <c r="AE61" s="128"/>
    </row>
    <row r="62" spans="2:31" ht="20.100000000000001" customHeight="1" x14ac:dyDescent="0.45">
      <c r="B62" s="132"/>
      <c r="D62" s="116"/>
      <c r="E62" s="337"/>
      <c r="H62" s="133"/>
      <c r="O62" s="124"/>
      <c r="Q62" s="146"/>
      <c r="S62" s="116"/>
      <c r="W62" s="146"/>
      <c r="Y62" s="116"/>
      <c r="AE62" s="128"/>
    </row>
    <row r="63" spans="2:31" ht="140.1" customHeight="1" x14ac:dyDescent="0.45">
      <c r="B63" s="132"/>
      <c r="D63" s="140" t="str">
        <f>'KRI Analytics'!$C$20</f>
        <v>POS</v>
      </c>
      <c r="E63" s="337"/>
      <c r="F63" s="143" t="str">
        <f>IFERROR(ROUNDDOWN(VLOOKUP(D63,tblDefensePreparedness[#Data],4,FALSE),1)&amp; " out of 5","Not Assessed")</f>
        <v>Not Assessed</v>
      </c>
      <c r="H63" s="133"/>
      <c r="O63" s="124"/>
      <c r="Q63" s="145">
        <v>2</v>
      </c>
      <c r="S63" s="140" t="str">
        <f>'KRI Analytics'!$C$20</f>
        <v>POS</v>
      </c>
      <c r="U63" s="147" t="str">
        <f>IFERROR(ROUNDDOWN(VLOOKUP(S63,tblDefensePreparedness[#Data],4,FALSE),1)&amp; " out of 5","Not Assessed")</f>
        <v>Not Assessed</v>
      </c>
      <c r="W63" s="145">
        <v>7</v>
      </c>
      <c r="Y63" s="140" t="str">
        <f>'KRI Analytics'!$C$25</f>
        <v>Social Engineering</v>
      </c>
      <c r="AA63" s="147" t="str">
        <f>IFERROR(ROUNDDOWN(VLOOKUP(Y63,tblDefensePreparedness[#Data],4,FALSE),1)&amp; " out of 5","Not Assessed")</f>
        <v>4 out of 5</v>
      </c>
      <c r="AE63" s="128"/>
    </row>
    <row r="64" spans="2:31" ht="20.100000000000001" customHeight="1" x14ac:dyDescent="0.45">
      <c r="B64" s="132"/>
      <c r="D64" s="116"/>
      <c r="E64" s="337"/>
      <c r="H64" s="133"/>
      <c r="O64" s="124"/>
      <c r="Q64" s="146"/>
      <c r="S64" s="116"/>
      <c r="W64" s="146"/>
      <c r="Y64" s="116"/>
      <c r="AE64" s="128"/>
    </row>
    <row r="65" spans="2:31" ht="140.1" customHeight="1" x14ac:dyDescent="0.45">
      <c r="B65" s="132"/>
      <c r="D65" s="140" t="str">
        <f>'KRI Analytics'!$C$21</f>
        <v>Physical Asset Loss</v>
      </c>
      <c r="E65" s="337"/>
      <c r="F65" s="143" t="str">
        <f>IFERROR(ROUNDDOWN(VLOOKUP(D65,tblDefensePreparedness[#Data],4,FALSE),1)&amp; " out of 5","Not Assessed")</f>
        <v>4 out of 5</v>
      </c>
      <c r="H65" s="133"/>
      <c r="O65" s="124"/>
      <c r="Q65" s="145">
        <v>3</v>
      </c>
      <c r="S65" s="140" t="str">
        <f>'KRI Analytics'!$C$21</f>
        <v>Physical Asset Loss</v>
      </c>
      <c r="U65" s="147" t="str">
        <f>IFERROR(ROUNDDOWN(VLOOKUP(S65,tblDefensePreparedness[#Data],4,FALSE),1)&amp; " out of 5","Not Assessed")</f>
        <v>4 out of 5</v>
      </c>
      <c r="W65" s="145">
        <v>8</v>
      </c>
      <c r="Y65" s="140" t="str">
        <f>'KRI Analytics'!$C$26</f>
        <v>Hacking Web</v>
      </c>
      <c r="AA65" s="147" t="str">
        <f>IFERROR(ROUNDDOWN(VLOOKUP(Y65,tblDefensePreparedness[#Data],4,FALSE),1)&amp; " out of 5","Not Assessed")</f>
        <v>3.6 out of 5</v>
      </c>
      <c r="AE65" s="128"/>
    </row>
    <row r="66" spans="2:31" ht="20.100000000000001" customHeight="1" x14ac:dyDescent="0.45">
      <c r="B66" s="132"/>
      <c r="D66" s="116"/>
      <c r="E66" s="337"/>
      <c r="H66" s="133"/>
      <c r="O66" s="124"/>
      <c r="Q66" s="146"/>
      <c r="S66" s="116"/>
      <c r="W66" s="146"/>
      <c r="Y66" s="116"/>
      <c r="AE66" s="128"/>
    </row>
    <row r="67" spans="2:31" ht="140.1" customHeight="1" x14ac:dyDescent="0.45">
      <c r="B67" s="132"/>
      <c r="D67" s="140" t="str">
        <f>'KRI Analytics'!$C$22</f>
        <v>Personnel Error</v>
      </c>
      <c r="E67" s="337"/>
      <c r="F67" s="143" t="str">
        <f>IFERROR(ROUNDDOWN(VLOOKUP(D67,tblDefensePreparedness[#Data],4,FALSE),1)&amp; " out of 5","Not Assessed")</f>
        <v>4 out of 5</v>
      </c>
      <c r="H67" s="133"/>
      <c r="O67" s="124"/>
      <c r="Q67" s="145">
        <v>4</v>
      </c>
      <c r="S67" s="140" t="str">
        <f>'KRI Analytics'!$C$22</f>
        <v>Personnel Error</v>
      </c>
      <c r="U67" s="147" t="str">
        <f>IFERROR(ROUNDDOWN(VLOOKUP(S67,tblDefensePreparedness[#Data],4,FALSE),1)&amp; " out of 5","Not Assessed")</f>
        <v>4 out of 5</v>
      </c>
      <c r="W67" s="145">
        <v>9</v>
      </c>
      <c r="Y67" s="140" t="str">
        <f>'KRI Analytics'!$C$27</f>
        <v>Malware</v>
      </c>
      <c r="AA67" s="147" t="str">
        <f>IFERROR(ROUNDDOWN(VLOOKUP(Y67,tblDefensePreparedness[#Data],4,FALSE),1)&amp; " out of 5","Not Assessed")</f>
        <v>4.6 out of 5</v>
      </c>
      <c r="AE67" s="128"/>
    </row>
    <row r="68" spans="2:31" ht="20.100000000000001" customHeight="1" x14ac:dyDescent="0.45">
      <c r="B68" s="132"/>
      <c r="D68" s="116"/>
      <c r="E68" s="337"/>
      <c r="H68" s="133"/>
      <c r="O68" s="124"/>
      <c r="Q68" s="146"/>
      <c r="S68" s="116"/>
      <c r="W68" s="146"/>
      <c r="Y68" s="116"/>
      <c r="AE68" s="128"/>
    </row>
    <row r="69" spans="2:31" ht="140.1" customHeight="1" x14ac:dyDescent="0.45">
      <c r="B69" s="132"/>
      <c r="D69" s="140" t="str">
        <f>'KRI Analytics'!$C$23</f>
        <v>Personnel Misuse</v>
      </c>
      <c r="E69" s="337"/>
      <c r="F69" s="143" t="str">
        <f>IFERROR(ROUNDDOWN(VLOOKUP(D69,tblDefensePreparedness[#Data],4,FALSE),1)&amp; " out of 5","Not Assessed")</f>
        <v>3.9 out of 5</v>
      </c>
      <c r="H69" s="133"/>
      <c r="O69" s="124"/>
      <c r="Q69" s="145">
        <v>5</v>
      </c>
      <c r="S69" s="140" t="str">
        <f>'KRI Analytics'!$C$23</f>
        <v>Personnel Misuse</v>
      </c>
      <c r="U69" s="147" t="str">
        <f>IFERROR(ROUNDDOWN(VLOOKUP(S69,tblDefensePreparedness[#Data],4,FALSE),1)&amp; " out of 5","Not Assessed")</f>
        <v>3.9 out of 5</v>
      </c>
      <c r="W69" s="145">
        <v>10</v>
      </c>
      <c r="Y69" s="140" t="str">
        <f>'KRI Analytics'!$C$28</f>
        <v>System Failure</v>
      </c>
      <c r="AA69" s="147" t="str">
        <f>IFERROR(ROUNDDOWN(VLOOKUP(Y69,tblDefensePreparedness[#Data],4,FALSE),1)&amp; " out of 5","Not Assessed")</f>
        <v>3.7 out of 5</v>
      </c>
      <c r="AE69" s="128"/>
    </row>
    <row r="70" spans="2:31" ht="20.100000000000001" customHeight="1" x14ac:dyDescent="0.45">
      <c r="B70" s="132"/>
      <c r="E70" s="337"/>
      <c r="H70" s="133"/>
      <c r="O70" s="124"/>
      <c r="AE70" s="128"/>
    </row>
    <row r="71" spans="2:31" ht="140.1" customHeight="1" thickBot="1" x14ac:dyDescent="0.5">
      <c r="B71" s="132"/>
      <c r="D71" s="140" t="str">
        <f>'KRI Analytics'!$C$24</f>
        <v>Hacking System</v>
      </c>
      <c r="E71" s="337"/>
      <c r="F71" s="143" t="str">
        <f>IFERROR(ROUNDDOWN(VLOOKUP(D71,tblDefensePreparedness[#Data],4,FALSE),1)&amp; " out of 5","Not Assessed")</f>
        <v>3.8 out of 5</v>
      </c>
      <c r="H71" s="133"/>
      <c r="O71" s="125"/>
      <c r="P71" s="126"/>
      <c r="Q71" s="126"/>
      <c r="R71" s="126"/>
      <c r="S71" s="126"/>
      <c r="T71" s="126"/>
      <c r="U71" s="126"/>
      <c r="V71" s="126"/>
      <c r="W71" s="126"/>
      <c r="X71" s="126"/>
      <c r="Y71" s="126"/>
      <c r="Z71" s="126"/>
      <c r="AA71" s="126"/>
      <c r="AB71" s="126"/>
      <c r="AC71" s="126"/>
      <c r="AD71" s="126"/>
      <c r="AE71" s="127"/>
    </row>
    <row r="72" spans="2:31" ht="20.100000000000001" customHeight="1" x14ac:dyDescent="0.45">
      <c r="B72" s="132"/>
      <c r="D72" s="116"/>
      <c r="E72" s="337"/>
      <c r="H72" s="133"/>
    </row>
    <row r="73" spans="2:31" ht="140.1" customHeight="1" x14ac:dyDescent="0.45">
      <c r="B73" s="132"/>
      <c r="D73" s="140" t="str">
        <f>'KRI Analytics'!$C$25</f>
        <v>Social Engineering</v>
      </c>
      <c r="E73" s="337"/>
      <c r="F73" s="143" t="str">
        <f>IFERROR(ROUNDDOWN(VLOOKUP(D73,tblDefensePreparedness[#Data],4,FALSE),1)&amp; " out of 5","Not Assessed")</f>
        <v>4 out of 5</v>
      </c>
      <c r="H73" s="133"/>
    </row>
    <row r="74" spans="2:31" ht="20.100000000000001" customHeight="1" x14ac:dyDescent="0.45">
      <c r="B74" s="132"/>
      <c r="D74" s="116"/>
      <c r="E74" s="337"/>
      <c r="H74" s="133"/>
    </row>
    <row r="75" spans="2:31" ht="140.1" customHeight="1" x14ac:dyDescent="0.45">
      <c r="B75" s="132"/>
      <c r="D75" s="140" t="str">
        <f>'KRI Analytics'!$C$26</f>
        <v>Hacking Web</v>
      </c>
      <c r="E75" s="337"/>
      <c r="F75" s="143" t="str">
        <f>IFERROR(ROUNDDOWN(VLOOKUP(D75,tblDefensePreparedness[#Data],4,FALSE),1)&amp; " out of 5","Not Assessed")</f>
        <v>3.6 out of 5</v>
      </c>
      <c r="H75" s="133"/>
    </row>
    <row r="76" spans="2:31" ht="20.100000000000001" customHeight="1" x14ac:dyDescent="0.45">
      <c r="B76" s="132"/>
      <c r="D76" s="116"/>
      <c r="E76" s="337"/>
      <c r="H76" s="133"/>
    </row>
    <row r="77" spans="2:31" ht="140.1" customHeight="1" x14ac:dyDescent="0.45">
      <c r="B77" s="132"/>
      <c r="D77" s="140" t="str">
        <f>'KRI Analytics'!$C$27</f>
        <v>Malware</v>
      </c>
      <c r="E77" s="337"/>
      <c r="F77" s="143" t="str">
        <f>IFERROR(ROUNDDOWN(VLOOKUP(D77,tblDefensePreparedness[#Data],4,FALSE),1)&amp; " out of 5","Not Assessed")</f>
        <v>4.6 out of 5</v>
      </c>
      <c r="H77" s="133"/>
    </row>
    <row r="78" spans="2:31" ht="20.100000000000001" customHeight="1" x14ac:dyDescent="0.45">
      <c r="B78" s="132"/>
      <c r="D78" s="116"/>
      <c r="E78" s="337"/>
      <c r="H78" s="133"/>
    </row>
    <row r="79" spans="2:31" ht="140.1" customHeight="1" x14ac:dyDescent="0.45">
      <c r="B79" s="132"/>
      <c r="D79" s="140" t="str">
        <f>'KRI Analytics'!$C$28</f>
        <v>System Failure</v>
      </c>
      <c r="E79" s="337"/>
      <c r="F79" s="143" t="str">
        <f>IFERROR(ROUNDDOWN(VLOOKUP(D79,tblDefensePreparedness[#Data],4,FALSE),1)&amp; " out of 5","Not Assessed")</f>
        <v>3.7 out of 5</v>
      </c>
      <c r="H79" s="133"/>
    </row>
    <row r="80" spans="2:31" ht="20.100000000000001" customHeight="1" x14ac:dyDescent="0.45">
      <c r="B80" s="132"/>
      <c r="E80" s="337"/>
      <c r="H80" s="133"/>
    </row>
    <row r="81" spans="2:8" x14ac:dyDescent="0.45">
      <c r="B81" s="134"/>
      <c r="C81" s="135"/>
      <c r="D81" s="135"/>
      <c r="E81" s="135"/>
      <c r="F81" s="135"/>
      <c r="G81" s="135"/>
      <c r="H81" s="136"/>
    </row>
  </sheetData>
  <mergeCells count="2">
    <mergeCell ref="E35:E54"/>
    <mergeCell ref="E61:E80"/>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01457-32F8-4C11-8407-9FDB1366051D}">
  <sheetPr codeName="Sheet11">
    <tabColor theme="7" tint="-0.249977111117893"/>
  </sheetPr>
  <dimension ref="A1"/>
  <sheetViews>
    <sheetView zoomScale="85" zoomScaleNormal="85" workbookViewId="0">
      <selection activeCell="AM38" sqref="AM38"/>
    </sheetView>
  </sheetViews>
  <sheetFormatPr defaultRowHeight="14.25" x14ac:dyDescent="0.45"/>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9543C-2102-4EF1-872A-7746966A4DDE}">
  <sheetPr>
    <tabColor rgb="FF0086BF"/>
    <pageSetUpPr fitToPage="1"/>
  </sheetPr>
  <dimension ref="A1:L54"/>
  <sheetViews>
    <sheetView topLeftCell="A2" zoomScaleNormal="100" workbookViewId="0">
      <selection activeCell="D4" sqref="D4:D6"/>
    </sheetView>
  </sheetViews>
  <sheetFormatPr defaultRowHeight="14.25" x14ac:dyDescent="0.45"/>
  <cols>
    <col min="4" max="4" width="52.1328125" customWidth="1"/>
    <col min="5" max="5" width="33.1328125" customWidth="1"/>
    <col min="6" max="6" width="37.1328125" customWidth="1"/>
    <col min="7" max="7" width="42.1328125" customWidth="1"/>
    <col min="8" max="8" width="43.1328125" customWidth="1"/>
    <col min="9" max="9" width="33.1328125" customWidth="1"/>
    <col min="10" max="10" width="34.86328125" customWidth="1"/>
    <col min="11" max="11" width="36.3984375" customWidth="1"/>
    <col min="12" max="12" width="33.86328125" customWidth="1"/>
  </cols>
  <sheetData>
    <row r="1" spans="1:12" x14ac:dyDescent="0.45">
      <c r="D1" s="277" t="s">
        <v>1110</v>
      </c>
    </row>
    <row r="2" spans="1:12" ht="15.75" x14ac:dyDescent="0.45">
      <c r="A2" s="277"/>
      <c r="B2" s="198"/>
      <c r="C2" s="198"/>
      <c r="D2" s="338" t="s">
        <v>1111</v>
      </c>
      <c r="E2" s="338"/>
      <c r="F2" s="338"/>
      <c r="G2" s="338"/>
      <c r="H2" s="338"/>
      <c r="I2" s="338"/>
      <c r="J2" s="338"/>
      <c r="K2" s="338"/>
      <c r="L2" s="338"/>
    </row>
    <row r="3" spans="1:12" ht="39.4" x14ac:dyDescent="0.45">
      <c r="A3" s="198"/>
      <c r="B3" s="199"/>
      <c r="C3" s="200" t="s">
        <v>1112</v>
      </c>
      <c r="D3" s="278" t="s">
        <v>1099</v>
      </c>
      <c r="E3" s="278" t="s">
        <v>1915</v>
      </c>
      <c r="F3" s="278" t="s">
        <v>1101</v>
      </c>
      <c r="G3" s="278" t="s">
        <v>1102</v>
      </c>
      <c r="H3" s="278" t="s">
        <v>1916</v>
      </c>
      <c r="I3" s="278" t="s">
        <v>1104</v>
      </c>
      <c r="J3" s="278" t="s">
        <v>1105</v>
      </c>
      <c r="K3" s="278" t="s">
        <v>1106</v>
      </c>
      <c r="L3" s="278" t="s">
        <v>1107</v>
      </c>
    </row>
    <row r="4" spans="1:12" ht="14.65" customHeight="1" x14ac:dyDescent="0.45">
      <c r="A4" s="198"/>
      <c r="B4" s="339" t="s">
        <v>1114</v>
      </c>
      <c r="C4" s="342" t="s">
        <v>1089</v>
      </c>
      <c r="D4" s="345" t="s">
        <v>1917</v>
      </c>
      <c r="E4" s="345" t="s">
        <v>1918</v>
      </c>
      <c r="F4" s="348"/>
      <c r="G4" s="348" t="s">
        <v>1919</v>
      </c>
      <c r="H4" s="345" t="s">
        <v>1920</v>
      </c>
      <c r="I4" s="345"/>
      <c r="J4" s="348" t="s">
        <v>1921</v>
      </c>
      <c r="K4" s="345"/>
      <c r="L4" s="345"/>
    </row>
    <row r="5" spans="1:12" x14ac:dyDescent="0.45">
      <c r="A5" s="198"/>
      <c r="B5" s="340"/>
      <c r="C5" s="343"/>
      <c r="D5" s="346"/>
      <c r="E5" s="346"/>
      <c r="F5" s="348"/>
      <c r="G5" s="348"/>
      <c r="H5" s="346"/>
      <c r="I5" s="346"/>
      <c r="J5" s="348"/>
      <c r="K5" s="346"/>
      <c r="L5" s="346"/>
    </row>
    <row r="6" spans="1:12" x14ac:dyDescent="0.45">
      <c r="A6" s="198"/>
      <c r="B6" s="340"/>
      <c r="C6" s="344"/>
      <c r="D6" s="347"/>
      <c r="E6" s="347"/>
      <c r="F6" s="348"/>
      <c r="G6" s="348"/>
      <c r="H6" s="347"/>
      <c r="I6" s="347"/>
      <c r="J6" s="348"/>
      <c r="K6" s="347"/>
      <c r="L6" s="347"/>
    </row>
    <row r="7" spans="1:12" ht="14.65" customHeight="1" x14ac:dyDescent="0.45">
      <c r="A7" s="198"/>
      <c r="B7" s="340"/>
      <c r="C7" s="342" t="s">
        <v>1092</v>
      </c>
      <c r="D7" s="345" t="s">
        <v>1922</v>
      </c>
      <c r="E7" s="345"/>
      <c r="F7" s="345" t="s">
        <v>1923</v>
      </c>
      <c r="G7" s="345" t="s">
        <v>1924</v>
      </c>
      <c r="H7" s="345" t="s">
        <v>1925</v>
      </c>
      <c r="I7" s="345" t="s">
        <v>1926</v>
      </c>
      <c r="J7" s="345" t="s">
        <v>1927</v>
      </c>
      <c r="K7" s="345" t="s">
        <v>1928</v>
      </c>
      <c r="L7" s="348" t="s">
        <v>1929</v>
      </c>
    </row>
    <row r="8" spans="1:12" x14ac:dyDescent="0.45">
      <c r="A8" s="198"/>
      <c r="B8" s="340"/>
      <c r="C8" s="343"/>
      <c r="D8" s="346"/>
      <c r="E8" s="346"/>
      <c r="F8" s="346"/>
      <c r="G8" s="346"/>
      <c r="H8" s="346"/>
      <c r="I8" s="346"/>
      <c r="J8" s="346"/>
      <c r="K8" s="346"/>
      <c r="L8" s="348"/>
    </row>
    <row r="9" spans="1:12" ht="117.6" customHeight="1" x14ac:dyDescent="0.45">
      <c r="A9" s="198"/>
      <c r="B9" s="340"/>
      <c r="C9" s="344"/>
      <c r="D9" s="347"/>
      <c r="E9" s="347"/>
      <c r="F9" s="347"/>
      <c r="G9" s="347"/>
      <c r="H9" s="347"/>
      <c r="I9" s="347"/>
      <c r="J9" s="347"/>
      <c r="K9" s="347"/>
      <c r="L9" s="348"/>
    </row>
    <row r="10" spans="1:12" ht="14.65" customHeight="1" x14ac:dyDescent="0.45">
      <c r="A10" s="198"/>
      <c r="B10" s="340"/>
      <c r="C10" s="342" t="s">
        <v>1091</v>
      </c>
      <c r="D10" s="345"/>
      <c r="E10" s="345"/>
      <c r="F10" s="345" t="s">
        <v>1930</v>
      </c>
      <c r="G10" s="345" t="s">
        <v>1931</v>
      </c>
      <c r="H10" s="345" t="s">
        <v>1932</v>
      </c>
      <c r="I10" s="345" t="s">
        <v>1933</v>
      </c>
      <c r="J10" s="345" t="s">
        <v>1934</v>
      </c>
      <c r="K10" s="345" t="s">
        <v>1935</v>
      </c>
      <c r="L10" s="348" t="s">
        <v>1936</v>
      </c>
    </row>
    <row r="11" spans="1:12" x14ac:dyDescent="0.45">
      <c r="A11" s="198"/>
      <c r="B11" s="340"/>
      <c r="C11" s="343"/>
      <c r="D11" s="346"/>
      <c r="E11" s="346"/>
      <c r="F11" s="346"/>
      <c r="G11" s="346"/>
      <c r="H11" s="346"/>
      <c r="I11" s="346"/>
      <c r="J11" s="346"/>
      <c r="K11" s="346"/>
      <c r="L11" s="348"/>
    </row>
    <row r="12" spans="1:12" ht="87" customHeight="1" x14ac:dyDescent="0.45">
      <c r="A12" s="198"/>
      <c r="B12" s="340"/>
      <c r="C12" s="344"/>
      <c r="D12" s="347"/>
      <c r="E12" s="347"/>
      <c r="F12" s="347"/>
      <c r="G12" s="347"/>
      <c r="H12" s="347"/>
      <c r="I12" s="347"/>
      <c r="J12" s="347"/>
      <c r="K12" s="347"/>
      <c r="L12" s="348"/>
    </row>
    <row r="13" spans="1:12" ht="14.65" customHeight="1" x14ac:dyDescent="0.45">
      <c r="A13" s="198"/>
      <c r="B13" s="340"/>
      <c r="C13" s="342" t="s">
        <v>1090</v>
      </c>
      <c r="D13" s="345"/>
      <c r="E13" s="345"/>
      <c r="F13" s="345"/>
      <c r="G13" s="345" t="s">
        <v>1937</v>
      </c>
      <c r="H13" s="345" t="s">
        <v>1938</v>
      </c>
      <c r="I13" s="345"/>
      <c r="J13" s="345" t="s">
        <v>1939</v>
      </c>
      <c r="K13" s="345"/>
      <c r="L13" s="345" t="s">
        <v>1930</v>
      </c>
    </row>
    <row r="14" spans="1:12" x14ac:dyDescent="0.45">
      <c r="A14" s="198"/>
      <c r="B14" s="340"/>
      <c r="C14" s="343"/>
      <c r="D14" s="346"/>
      <c r="E14" s="346"/>
      <c r="F14" s="346"/>
      <c r="G14" s="346"/>
      <c r="H14" s="346"/>
      <c r="I14" s="346"/>
      <c r="J14" s="346"/>
      <c r="K14" s="346"/>
      <c r="L14" s="346"/>
    </row>
    <row r="15" spans="1:12" ht="117.6" customHeight="1" x14ac:dyDescent="0.45">
      <c r="A15" s="198"/>
      <c r="B15" s="340"/>
      <c r="C15" s="344"/>
      <c r="D15" s="347"/>
      <c r="E15" s="347"/>
      <c r="F15" s="347"/>
      <c r="G15" s="347"/>
      <c r="H15" s="347"/>
      <c r="I15" s="347"/>
      <c r="J15" s="347"/>
      <c r="K15" s="347"/>
      <c r="L15" s="347"/>
    </row>
    <row r="16" spans="1:12" ht="14.65" customHeight="1" x14ac:dyDescent="0.45">
      <c r="A16" s="198"/>
      <c r="B16" s="340"/>
      <c r="C16" s="342" t="s">
        <v>1097</v>
      </c>
      <c r="D16" s="345"/>
      <c r="E16" s="345"/>
      <c r="F16" s="345"/>
      <c r="G16" s="345"/>
      <c r="H16" s="345"/>
      <c r="I16" s="345"/>
      <c r="J16" s="345"/>
      <c r="K16" s="345"/>
      <c r="L16" s="345" t="s">
        <v>1940</v>
      </c>
    </row>
    <row r="17" spans="1:12" x14ac:dyDescent="0.45">
      <c r="A17" s="198"/>
      <c r="B17" s="340"/>
      <c r="C17" s="343"/>
      <c r="D17" s="346"/>
      <c r="E17" s="346"/>
      <c r="F17" s="346"/>
      <c r="G17" s="346"/>
      <c r="H17" s="346"/>
      <c r="I17" s="346"/>
      <c r="J17" s="346"/>
      <c r="K17" s="346"/>
      <c r="L17" s="346"/>
    </row>
    <row r="18" spans="1:12" ht="58.9" customHeight="1" x14ac:dyDescent="0.45">
      <c r="A18" s="198"/>
      <c r="B18" s="341"/>
      <c r="C18" s="344"/>
      <c r="D18" s="347"/>
      <c r="E18" s="347"/>
      <c r="F18" s="347"/>
      <c r="G18" s="347"/>
      <c r="H18" s="347"/>
      <c r="I18" s="347"/>
      <c r="J18" s="347"/>
      <c r="K18" s="347"/>
      <c r="L18" s="347"/>
    </row>
    <row r="20" spans="1:12" ht="15.75" x14ac:dyDescent="0.45">
      <c r="A20" s="279" t="s">
        <v>1941</v>
      </c>
      <c r="D20" s="349" t="s">
        <v>1111</v>
      </c>
      <c r="E20" s="349"/>
      <c r="F20" s="349"/>
      <c r="G20" s="349"/>
      <c r="H20" s="349"/>
      <c r="I20" s="349"/>
      <c r="J20" s="349"/>
      <c r="K20" s="349"/>
      <c r="L20" s="349"/>
    </row>
    <row r="21" spans="1:12" ht="39.4" x14ac:dyDescent="0.45">
      <c r="B21" s="280"/>
      <c r="C21" s="281" t="s">
        <v>1112</v>
      </c>
      <c r="D21" s="201" t="s">
        <v>1099</v>
      </c>
      <c r="E21" s="201" t="s">
        <v>1915</v>
      </c>
      <c r="F21" s="201" t="s">
        <v>1101</v>
      </c>
      <c r="G21" s="201" t="s">
        <v>1102</v>
      </c>
      <c r="H21" s="201" t="s">
        <v>1916</v>
      </c>
      <c r="I21" s="201" t="s">
        <v>1104</v>
      </c>
      <c r="J21" s="201" t="s">
        <v>1105</v>
      </c>
      <c r="K21" s="201" t="s">
        <v>1106</v>
      </c>
      <c r="L21" s="201" t="s">
        <v>1107</v>
      </c>
    </row>
    <row r="22" spans="1:12" ht="14.65" customHeight="1" x14ac:dyDescent="0.45">
      <c r="B22" s="350" t="s">
        <v>1114</v>
      </c>
      <c r="C22" s="351" t="s">
        <v>1089</v>
      </c>
      <c r="D22" s="345"/>
      <c r="E22" s="345"/>
      <c r="F22" s="345"/>
      <c r="G22" s="345"/>
      <c r="H22" s="345" t="s">
        <v>1920</v>
      </c>
      <c r="I22" s="345"/>
      <c r="J22" s="348" t="s">
        <v>1921</v>
      </c>
      <c r="K22" s="345"/>
      <c r="L22" s="345"/>
    </row>
    <row r="23" spans="1:12" x14ac:dyDescent="0.45">
      <c r="B23" s="350"/>
      <c r="C23" s="352"/>
      <c r="D23" s="346"/>
      <c r="E23" s="346"/>
      <c r="F23" s="346"/>
      <c r="G23" s="346"/>
      <c r="H23" s="346"/>
      <c r="I23" s="346"/>
      <c r="J23" s="348"/>
      <c r="K23" s="346"/>
      <c r="L23" s="346"/>
    </row>
    <row r="24" spans="1:12" x14ac:dyDescent="0.45">
      <c r="B24" s="350"/>
      <c r="C24" s="352"/>
      <c r="D24" s="347"/>
      <c r="E24" s="347"/>
      <c r="F24" s="347"/>
      <c r="G24" s="347"/>
      <c r="H24" s="347"/>
      <c r="I24" s="347"/>
      <c r="J24" s="348"/>
      <c r="K24" s="347"/>
      <c r="L24" s="347"/>
    </row>
    <row r="25" spans="1:12" ht="14.65" customHeight="1" x14ac:dyDescent="0.45">
      <c r="B25" s="350"/>
      <c r="C25" s="351" t="s">
        <v>1092</v>
      </c>
      <c r="D25" s="345"/>
      <c r="E25" s="345"/>
      <c r="F25" s="345"/>
      <c r="G25" s="345" t="s">
        <v>1942</v>
      </c>
      <c r="H25" s="345" t="s">
        <v>1943</v>
      </c>
      <c r="I25" s="345"/>
      <c r="J25" s="345" t="s">
        <v>1944</v>
      </c>
      <c r="K25" s="345" t="s">
        <v>1945</v>
      </c>
      <c r="L25" s="345"/>
    </row>
    <row r="26" spans="1:12" x14ac:dyDescent="0.45">
      <c r="B26" s="350"/>
      <c r="C26" s="351"/>
      <c r="D26" s="346"/>
      <c r="E26" s="346"/>
      <c r="F26" s="346"/>
      <c r="G26" s="346"/>
      <c r="H26" s="346"/>
      <c r="I26" s="346"/>
      <c r="J26" s="346"/>
      <c r="K26" s="346"/>
      <c r="L26" s="346"/>
    </row>
    <row r="27" spans="1:12" ht="106.35" customHeight="1" x14ac:dyDescent="0.45">
      <c r="B27" s="350"/>
      <c r="C27" s="351"/>
      <c r="D27" s="347"/>
      <c r="E27" s="347"/>
      <c r="F27" s="347"/>
      <c r="G27" s="347"/>
      <c r="H27" s="347"/>
      <c r="I27" s="347"/>
      <c r="J27" s="347"/>
      <c r="K27" s="347"/>
      <c r="L27" s="347"/>
    </row>
    <row r="28" spans="1:12" ht="14.65" customHeight="1" x14ac:dyDescent="0.45">
      <c r="B28" s="350"/>
      <c r="C28" s="351" t="s">
        <v>1091</v>
      </c>
      <c r="D28" s="345"/>
      <c r="E28" s="345"/>
      <c r="F28" s="345"/>
      <c r="G28" s="345" t="s">
        <v>1946</v>
      </c>
      <c r="H28" s="345" t="s">
        <v>1947</v>
      </c>
      <c r="I28" s="345"/>
      <c r="J28" s="345" t="s">
        <v>1934</v>
      </c>
      <c r="K28" s="345" t="s">
        <v>1935</v>
      </c>
      <c r="L28" s="345"/>
    </row>
    <row r="29" spans="1:12" x14ac:dyDescent="0.45">
      <c r="B29" s="350"/>
      <c r="C29" s="351"/>
      <c r="D29" s="346"/>
      <c r="E29" s="346"/>
      <c r="F29" s="346"/>
      <c r="G29" s="346"/>
      <c r="H29" s="346"/>
      <c r="I29" s="346"/>
      <c r="J29" s="346"/>
      <c r="K29" s="346"/>
      <c r="L29" s="346"/>
    </row>
    <row r="30" spans="1:12" ht="91.35" customHeight="1" x14ac:dyDescent="0.45">
      <c r="B30" s="350"/>
      <c r="C30" s="351"/>
      <c r="D30" s="347"/>
      <c r="E30" s="347"/>
      <c r="F30" s="347"/>
      <c r="G30" s="347"/>
      <c r="H30" s="347"/>
      <c r="I30" s="347"/>
      <c r="J30" s="347"/>
      <c r="K30" s="347"/>
      <c r="L30" s="347"/>
    </row>
    <row r="31" spans="1:12" ht="14.65" customHeight="1" x14ac:dyDescent="0.45">
      <c r="B31" s="350"/>
      <c r="C31" s="351" t="s">
        <v>1090</v>
      </c>
      <c r="D31" s="345"/>
      <c r="E31" s="345"/>
      <c r="F31" s="345"/>
      <c r="G31" s="345" t="s">
        <v>1948</v>
      </c>
      <c r="H31" s="345" t="s">
        <v>1949</v>
      </c>
      <c r="I31" s="345"/>
      <c r="J31" s="345" t="s">
        <v>1950</v>
      </c>
      <c r="K31" s="345"/>
      <c r="L31" s="345" t="s">
        <v>1951</v>
      </c>
    </row>
    <row r="32" spans="1:12" x14ac:dyDescent="0.45">
      <c r="B32" s="350"/>
      <c r="C32" s="351"/>
      <c r="D32" s="346"/>
      <c r="E32" s="346"/>
      <c r="F32" s="346"/>
      <c r="G32" s="346"/>
      <c r="H32" s="346"/>
      <c r="I32" s="346"/>
      <c r="J32" s="346"/>
      <c r="K32" s="346"/>
      <c r="L32" s="346"/>
    </row>
    <row r="33" spans="1:12" ht="121.9" customHeight="1" x14ac:dyDescent="0.45">
      <c r="B33" s="350"/>
      <c r="C33" s="351"/>
      <c r="D33" s="347"/>
      <c r="E33" s="347"/>
      <c r="F33" s="347"/>
      <c r="G33" s="347"/>
      <c r="H33" s="347"/>
      <c r="I33" s="347"/>
      <c r="J33" s="347"/>
      <c r="K33" s="347"/>
      <c r="L33" s="347"/>
    </row>
    <row r="34" spans="1:12" ht="14.65" customHeight="1" x14ac:dyDescent="0.45">
      <c r="B34" s="350"/>
      <c r="C34" s="351" t="s">
        <v>1097</v>
      </c>
      <c r="D34" s="345"/>
      <c r="E34" s="345"/>
      <c r="F34" s="345"/>
      <c r="G34" s="345"/>
      <c r="H34" s="345"/>
      <c r="I34" s="345"/>
      <c r="J34" s="345"/>
      <c r="K34" s="345"/>
      <c r="L34" s="345" t="s">
        <v>1952</v>
      </c>
    </row>
    <row r="35" spans="1:12" x14ac:dyDescent="0.45">
      <c r="B35" s="350"/>
      <c r="C35" s="351"/>
      <c r="D35" s="346"/>
      <c r="E35" s="346"/>
      <c r="F35" s="346"/>
      <c r="G35" s="346"/>
      <c r="H35" s="346"/>
      <c r="I35" s="346"/>
      <c r="J35" s="346"/>
      <c r="K35" s="346"/>
      <c r="L35" s="346"/>
    </row>
    <row r="36" spans="1:12" x14ac:dyDescent="0.45">
      <c r="B36" s="350"/>
      <c r="C36" s="351"/>
      <c r="D36" s="347"/>
      <c r="E36" s="347"/>
      <c r="F36" s="347"/>
      <c r="G36" s="347"/>
      <c r="H36" s="347"/>
      <c r="I36" s="347"/>
      <c r="J36" s="347"/>
      <c r="K36" s="347"/>
      <c r="L36" s="347"/>
    </row>
    <row r="38" spans="1:12" ht="15.75" x14ac:dyDescent="0.45">
      <c r="A38" s="279" t="s">
        <v>1953</v>
      </c>
      <c r="D38" s="349" t="s">
        <v>1111</v>
      </c>
      <c r="E38" s="349"/>
      <c r="F38" s="349"/>
      <c r="G38" s="349"/>
      <c r="H38" s="349"/>
      <c r="I38" s="349"/>
      <c r="J38" s="349"/>
      <c r="K38" s="349"/>
      <c r="L38" s="349"/>
    </row>
    <row r="39" spans="1:12" ht="39.4" x14ac:dyDescent="0.45">
      <c r="B39" s="280"/>
      <c r="C39" s="281" t="s">
        <v>1112</v>
      </c>
      <c r="D39" s="201" t="s">
        <v>1099</v>
      </c>
      <c r="E39" s="201" t="s">
        <v>1915</v>
      </c>
      <c r="F39" s="201" t="s">
        <v>1101</v>
      </c>
      <c r="G39" s="201" t="s">
        <v>1102</v>
      </c>
      <c r="H39" s="201" t="s">
        <v>1916</v>
      </c>
      <c r="I39" s="201" t="s">
        <v>1104</v>
      </c>
      <c r="J39" s="201" t="s">
        <v>1105</v>
      </c>
      <c r="K39" s="201" t="s">
        <v>1106</v>
      </c>
      <c r="L39" s="201" t="s">
        <v>1107</v>
      </c>
    </row>
    <row r="40" spans="1:12" x14ac:dyDescent="0.45">
      <c r="B40" s="350" t="s">
        <v>1114</v>
      </c>
      <c r="C40" s="351" t="s">
        <v>1089</v>
      </c>
      <c r="D40" s="348" t="s">
        <v>1954</v>
      </c>
      <c r="E40" s="348" t="s">
        <v>1918</v>
      </c>
      <c r="F40" s="348"/>
      <c r="G40" s="348" t="s">
        <v>1919</v>
      </c>
      <c r="H40" s="348" t="s">
        <v>1920</v>
      </c>
      <c r="I40" s="348"/>
      <c r="J40" s="348" t="s">
        <v>1921</v>
      </c>
      <c r="K40" s="348"/>
      <c r="L40" s="348"/>
    </row>
    <row r="41" spans="1:12" x14ac:dyDescent="0.45">
      <c r="B41" s="350"/>
      <c r="C41" s="352"/>
      <c r="D41" s="348"/>
      <c r="E41" s="348"/>
      <c r="F41" s="348"/>
      <c r="G41" s="348"/>
      <c r="H41" s="348"/>
      <c r="I41" s="348"/>
      <c r="J41" s="348"/>
      <c r="K41" s="348"/>
      <c r="L41" s="348"/>
    </row>
    <row r="42" spans="1:12" ht="13.9" customHeight="1" x14ac:dyDescent="0.45">
      <c r="B42" s="350"/>
      <c r="C42" s="352"/>
      <c r="D42" s="348"/>
      <c r="E42" s="348"/>
      <c r="F42" s="348"/>
      <c r="G42" s="348"/>
      <c r="H42" s="348"/>
      <c r="I42" s="348"/>
      <c r="J42" s="348"/>
      <c r="K42" s="348"/>
      <c r="L42" s="348"/>
    </row>
    <row r="43" spans="1:12" x14ac:dyDescent="0.45">
      <c r="B43" s="350"/>
      <c r="C43" s="351" t="s">
        <v>1092</v>
      </c>
      <c r="D43" s="348" t="s">
        <v>1955</v>
      </c>
      <c r="E43" s="348"/>
      <c r="F43" s="348" t="s">
        <v>1956</v>
      </c>
      <c r="G43" s="348" t="s">
        <v>1957</v>
      </c>
      <c r="H43" s="348" t="s">
        <v>1925</v>
      </c>
      <c r="I43" s="348" t="s">
        <v>1958</v>
      </c>
      <c r="J43" s="348" t="s">
        <v>1927</v>
      </c>
      <c r="K43" s="348" t="s">
        <v>1928</v>
      </c>
      <c r="L43" s="348" t="s">
        <v>1929</v>
      </c>
    </row>
    <row r="44" spans="1:12" x14ac:dyDescent="0.45">
      <c r="B44" s="350"/>
      <c r="C44" s="351"/>
      <c r="D44" s="348"/>
      <c r="E44" s="348"/>
      <c r="F44" s="348"/>
      <c r="G44" s="348"/>
      <c r="H44" s="348"/>
      <c r="I44" s="348"/>
      <c r="J44" s="348"/>
      <c r="K44" s="348"/>
      <c r="L44" s="348"/>
    </row>
    <row r="45" spans="1:12" ht="109.9" customHeight="1" x14ac:dyDescent="0.45">
      <c r="B45" s="350"/>
      <c r="C45" s="351"/>
      <c r="D45" s="348"/>
      <c r="E45" s="348"/>
      <c r="F45" s="348"/>
      <c r="G45" s="348"/>
      <c r="H45" s="348"/>
      <c r="I45" s="348"/>
      <c r="J45" s="348"/>
      <c r="K45" s="348"/>
      <c r="L45" s="348"/>
    </row>
    <row r="46" spans="1:12" x14ac:dyDescent="0.45">
      <c r="B46" s="350"/>
      <c r="C46" s="351" t="s">
        <v>1091</v>
      </c>
      <c r="D46" s="348"/>
      <c r="E46" s="348"/>
      <c r="F46" s="348" t="s">
        <v>1930</v>
      </c>
      <c r="G46" s="348" t="s">
        <v>1959</v>
      </c>
      <c r="H46" s="348" t="s">
        <v>1932</v>
      </c>
      <c r="I46" s="348" t="s">
        <v>1960</v>
      </c>
      <c r="J46" s="348" t="s">
        <v>1934</v>
      </c>
      <c r="K46" s="348" t="s">
        <v>1961</v>
      </c>
      <c r="L46" s="348" t="s">
        <v>1936</v>
      </c>
    </row>
    <row r="47" spans="1:12" x14ac:dyDescent="0.45">
      <c r="B47" s="350"/>
      <c r="C47" s="351"/>
      <c r="D47" s="348"/>
      <c r="E47" s="348"/>
      <c r="F47" s="348"/>
      <c r="G47" s="348"/>
      <c r="H47" s="348"/>
      <c r="I47" s="348"/>
      <c r="J47" s="348"/>
      <c r="K47" s="348"/>
      <c r="L47" s="348"/>
    </row>
    <row r="48" spans="1:12" ht="90.6" customHeight="1" x14ac:dyDescent="0.45">
      <c r="B48" s="350"/>
      <c r="C48" s="351"/>
      <c r="D48" s="348"/>
      <c r="E48" s="348"/>
      <c r="F48" s="348"/>
      <c r="G48" s="348"/>
      <c r="H48" s="348"/>
      <c r="I48" s="348"/>
      <c r="J48" s="348"/>
      <c r="K48" s="348"/>
      <c r="L48" s="348"/>
    </row>
    <row r="49" spans="2:12" x14ac:dyDescent="0.45">
      <c r="B49" s="350"/>
      <c r="C49" s="351" t="s">
        <v>1090</v>
      </c>
      <c r="D49" s="348"/>
      <c r="E49" s="348"/>
      <c r="F49" s="348"/>
      <c r="G49" s="348" t="s">
        <v>1937</v>
      </c>
      <c r="H49" s="348" t="s">
        <v>1962</v>
      </c>
      <c r="I49" s="348"/>
      <c r="J49" s="348" t="s">
        <v>1963</v>
      </c>
      <c r="K49" s="348"/>
      <c r="L49" s="348" t="s">
        <v>1930</v>
      </c>
    </row>
    <row r="50" spans="2:12" x14ac:dyDescent="0.45">
      <c r="B50" s="350"/>
      <c r="C50" s="351"/>
      <c r="D50" s="348"/>
      <c r="E50" s="348"/>
      <c r="F50" s="348"/>
      <c r="G50" s="348"/>
      <c r="H50" s="348"/>
      <c r="I50" s="348"/>
      <c r="J50" s="348"/>
      <c r="K50" s="348"/>
      <c r="L50" s="348"/>
    </row>
    <row r="51" spans="2:12" ht="118.9" customHeight="1" x14ac:dyDescent="0.45">
      <c r="B51" s="350"/>
      <c r="C51" s="351"/>
      <c r="D51" s="348"/>
      <c r="E51" s="348"/>
      <c r="F51" s="348"/>
      <c r="G51" s="348"/>
      <c r="H51" s="348"/>
      <c r="I51" s="348"/>
      <c r="J51" s="348"/>
      <c r="K51" s="348"/>
      <c r="L51" s="348"/>
    </row>
    <row r="52" spans="2:12" x14ac:dyDescent="0.45">
      <c r="B52" s="350"/>
      <c r="C52" s="351" t="s">
        <v>1097</v>
      </c>
      <c r="D52" s="348"/>
      <c r="E52" s="348"/>
      <c r="F52" s="348"/>
      <c r="G52" s="348"/>
      <c r="H52" s="348"/>
      <c r="I52" s="348"/>
      <c r="J52" s="348"/>
      <c r="K52" s="348"/>
      <c r="L52" s="348" t="s">
        <v>1964</v>
      </c>
    </row>
    <row r="53" spans="2:12" x14ac:dyDescent="0.45">
      <c r="B53" s="350"/>
      <c r="C53" s="351"/>
      <c r="D53" s="348"/>
      <c r="E53" s="348"/>
      <c r="F53" s="348"/>
      <c r="G53" s="348"/>
      <c r="H53" s="348"/>
      <c r="I53" s="348"/>
      <c r="J53" s="348"/>
      <c r="K53" s="348"/>
      <c r="L53" s="348"/>
    </row>
    <row r="54" spans="2:12" ht="85.9" customHeight="1" x14ac:dyDescent="0.45">
      <c r="B54" s="350"/>
      <c r="C54" s="351"/>
      <c r="D54" s="348"/>
      <c r="E54" s="348"/>
      <c r="F54" s="348"/>
      <c r="G54" s="348"/>
      <c r="H54" s="348"/>
      <c r="I54" s="348"/>
      <c r="J54" s="348"/>
      <c r="K54" s="348"/>
      <c r="L54" s="348"/>
    </row>
  </sheetData>
  <mergeCells count="156">
    <mergeCell ref="I52:I54"/>
    <mergeCell ref="J52:J54"/>
    <mergeCell ref="K52:K54"/>
    <mergeCell ref="L52:L54"/>
    <mergeCell ref="I49:I51"/>
    <mergeCell ref="J49:J51"/>
    <mergeCell ref="K49:K51"/>
    <mergeCell ref="L49:L51"/>
    <mergeCell ref="C52:C54"/>
    <mergeCell ref="D52:D54"/>
    <mergeCell ref="E52:E54"/>
    <mergeCell ref="F52:F54"/>
    <mergeCell ref="G52:G54"/>
    <mergeCell ref="H52:H54"/>
    <mergeCell ref="I43:I45"/>
    <mergeCell ref="J43:J45"/>
    <mergeCell ref="K43:K45"/>
    <mergeCell ref="L43:L45"/>
    <mergeCell ref="C46:C48"/>
    <mergeCell ref="D46:D48"/>
    <mergeCell ref="E46:E48"/>
    <mergeCell ref="F46:F48"/>
    <mergeCell ref="G46:G48"/>
    <mergeCell ref="H46:H48"/>
    <mergeCell ref="C43:C45"/>
    <mergeCell ref="D43:D45"/>
    <mergeCell ref="E43:E45"/>
    <mergeCell ref="F43:F45"/>
    <mergeCell ref="G43:G45"/>
    <mergeCell ref="H43:H45"/>
    <mergeCell ref="I46:I48"/>
    <mergeCell ref="J46:J48"/>
    <mergeCell ref="K46:K48"/>
    <mergeCell ref="L46:L48"/>
    <mergeCell ref="I40:I42"/>
    <mergeCell ref="J40:J42"/>
    <mergeCell ref="K40:K42"/>
    <mergeCell ref="L40:L42"/>
    <mergeCell ref="I34:I36"/>
    <mergeCell ref="J34:J36"/>
    <mergeCell ref="K34:K36"/>
    <mergeCell ref="L34:L36"/>
    <mergeCell ref="D38:L38"/>
    <mergeCell ref="I31:I33"/>
    <mergeCell ref="J31:J33"/>
    <mergeCell ref="K31:K33"/>
    <mergeCell ref="L31:L33"/>
    <mergeCell ref="C34:C36"/>
    <mergeCell ref="D34:D36"/>
    <mergeCell ref="E34:E36"/>
    <mergeCell ref="F34:F36"/>
    <mergeCell ref="G34:G36"/>
    <mergeCell ref="H34:H36"/>
    <mergeCell ref="C31:C33"/>
    <mergeCell ref="D31:D33"/>
    <mergeCell ref="E31:E33"/>
    <mergeCell ref="F31:F33"/>
    <mergeCell ref="G31:G33"/>
    <mergeCell ref="H31:H33"/>
    <mergeCell ref="B40:B54"/>
    <mergeCell ref="C40:C42"/>
    <mergeCell ref="D40:D42"/>
    <mergeCell ref="E40:E42"/>
    <mergeCell ref="F40:F42"/>
    <mergeCell ref="G40:G42"/>
    <mergeCell ref="H40:H42"/>
    <mergeCell ref="C49:C51"/>
    <mergeCell ref="D49:D51"/>
    <mergeCell ref="E49:E51"/>
    <mergeCell ref="F49:F51"/>
    <mergeCell ref="G49:G51"/>
    <mergeCell ref="H49:H51"/>
    <mergeCell ref="D28:D30"/>
    <mergeCell ref="E28:E30"/>
    <mergeCell ref="F28:F30"/>
    <mergeCell ref="G28:G30"/>
    <mergeCell ref="H28:H30"/>
    <mergeCell ref="I28:I30"/>
    <mergeCell ref="J28:J30"/>
    <mergeCell ref="K28:K30"/>
    <mergeCell ref="L28:L30"/>
    <mergeCell ref="L16:L18"/>
    <mergeCell ref="D20:L20"/>
    <mergeCell ref="B22:B36"/>
    <mergeCell ref="C22:C24"/>
    <mergeCell ref="D22:D24"/>
    <mergeCell ref="E22:E24"/>
    <mergeCell ref="F22:F24"/>
    <mergeCell ref="G22:G24"/>
    <mergeCell ref="H22:H24"/>
    <mergeCell ref="I22:I24"/>
    <mergeCell ref="J22:J24"/>
    <mergeCell ref="K22:K24"/>
    <mergeCell ref="L22:L24"/>
    <mergeCell ref="C25:C27"/>
    <mergeCell ref="D25:D27"/>
    <mergeCell ref="E25:E27"/>
    <mergeCell ref="F25:F27"/>
    <mergeCell ref="G25:G27"/>
    <mergeCell ref="H25:H27"/>
    <mergeCell ref="I25:I27"/>
    <mergeCell ref="J25:J27"/>
    <mergeCell ref="K25:K27"/>
    <mergeCell ref="L25:L27"/>
    <mergeCell ref="C28:C30"/>
    <mergeCell ref="C16:C18"/>
    <mergeCell ref="D16:D18"/>
    <mergeCell ref="E16:E18"/>
    <mergeCell ref="F16:F18"/>
    <mergeCell ref="G16:G18"/>
    <mergeCell ref="H16:H18"/>
    <mergeCell ref="I16:I18"/>
    <mergeCell ref="J16:J18"/>
    <mergeCell ref="K16:K18"/>
    <mergeCell ref="E10:E12"/>
    <mergeCell ref="F10:F12"/>
    <mergeCell ref="G10:G12"/>
    <mergeCell ref="H10:H12"/>
    <mergeCell ref="I10:I12"/>
    <mergeCell ref="J10:J12"/>
    <mergeCell ref="K10:K12"/>
    <mergeCell ref="L10:L12"/>
    <mergeCell ref="C13:C15"/>
    <mergeCell ref="D13:D15"/>
    <mergeCell ref="E13:E15"/>
    <mergeCell ref="F13:F15"/>
    <mergeCell ref="G13:G15"/>
    <mergeCell ref="H13:H15"/>
    <mergeCell ref="I13:I15"/>
    <mergeCell ref="J13:J15"/>
    <mergeCell ref="K13:K15"/>
    <mergeCell ref="L13:L15"/>
    <mergeCell ref="D2:L2"/>
    <mergeCell ref="B4:B18"/>
    <mergeCell ref="C4:C6"/>
    <mergeCell ref="D4:D6"/>
    <mergeCell ref="E4:E6"/>
    <mergeCell ref="F4:F6"/>
    <mergeCell ref="G4:G6"/>
    <mergeCell ref="H4:H6"/>
    <mergeCell ref="I4:I6"/>
    <mergeCell ref="J4:J6"/>
    <mergeCell ref="K4:K6"/>
    <mergeCell ref="L4:L6"/>
    <mergeCell ref="C7:C9"/>
    <mergeCell ref="D7:D9"/>
    <mergeCell ref="E7:E9"/>
    <mergeCell ref="F7:F9"/>
    <mergeCell ref="G7:G9"/>
    <mergeCell ref="H7:H9"/>
    <mergeCell ref="I7:I9"/>
    <mergeCell ref="J7:J9"/>
    <mergeCell ref="K7:K9"/>
    <mergeCell ref="L7:L9"/>
    <mergeCell ref="C10:C12"/>
    <mergeCell ref="D10:D12"/>
  </mergeCells>
  <pageMargins left="0.25" right="0.25" top="0.75" bottom="0.75" header="0.3" footer="0.3"/>
  <pageSetup paperSize="5" scale="46"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572EE-5378-4781-8BC5-61CBF4538090}">
  <sheetPr>
    <tabColor rgb="FF0086BF"/>
    <pageSetUpPr fitToPage="1"/>
  </sheetPr>
  <dimension ref="A1:L28"/>
  <sheetViews>
    <sheetView showGridLines="0" zoomScale="114" zoomScaleNormal="130" workbookViewId="0">
      <selection activeCell="D28" sqref="D28"/>
    </sheetView>
  </sheetViews>
  <sheetFormatPr defaultRowHeight="14.25" x14ac:dyDescent="0.45"/>
  <cols>
    <col min="1" max="3" width="9" customWidth="1"/>
    <col min="4" max="12" width="14.73046875" style="197" customWidth="1"/>
  </cols>
  <sheetData>
    <row r="1" spans="1:12" x14ac:dyDescent="0.45">
      <c r="B1" s="196" t="s">
        <v>1110</v>
      </c>
    </row>
    <row r="2" spans="1:12" ht="15.75" x14ac:dyDescent="0.45">
      <c r="B2" s="196"/>
      <c r="C2" s="198"/>
      <c r="D2" s="349" t="s">
        <v>1111</v>
      </c>
      <c r="E2" s="349"/>
      <c r="F2" s="349"/>
      <c r="G2" s="349"/>
      <c r="H2" s="349"/>
      <c r="I2" s="349"/>
      <c r="J2" s="349"/>
      <c r="K2" s="349"/>
      <c r="L2" s="349"/>
    </row>
    <row r="3" spans="1:12" ht="39.4" x14ac:dyDescent="0.45">
      <c r="A3" s="198"/>
      <c r="B3" s="199"/>
      <c r="C3" s="200" t="s">
        <v>1112</v>
      </c>
      <c r="D3" s="201" t="s">
        <v>1099</v>
      </c>
      <c r="E3" s="201" t="s">
        <v>1100</v>
      </c>
      <c r="F3" s="201" t="s">
        <v>1101</v>
      </c>
      <c r="G3" s="201" t="s">
        <v>1102</v>
      </c>
      <c r="H3" s="201" t="s">
        <v>1113</v>
      </c>
      <c r="I3" s="201" t="s">
        <v>1104</v>
      </c>
      <c r="J3" s="201" t="s">
        <v>1105</v>
      </c>
      <c r="K3" s="201" t="s">
        <v>1106</v>
      </c>
      <c r="L3" s="201" t="s">
        <v>1107</v>
      </c>
    </row>
    <row r="4" spans="1:12" ht="14.65" customHeight="1" x14ac:dyDescent="0.45">
      <c r="A4" s="198"/>
      <c r="B4" s="339" t="s">
        <v>1114</v>
      </c>
      <c r="C4" s="342" t="s">
        <v>1089</v>
      </c>
      <c r="D4" s="353">
        <f>IFERROR(AVERAGEIFS('Risk Register'!$AL$4:$AL$156,'Risk Register'!$J$4:$J$156,"Yes",'Risk Register'!$AL$4:$AL$156,"&gt;="&amp;valALR,'Risk Register'!BI$4:BI$156,"x",'Risk Register'!$E$4:$E$156,"*"&amp;$C4&amp;"*"),0)</f>
        <v>0</v>
      </c>
      <c r="E4" s="353">
        <f>IFERROR(AVERAGEIFS('Risk Register'!$AL$4:$AL$156,'Risk Register'!$J$4:$J$156,"Yes",'Risk Register'!$AL$4:$AL$156,"&gt;="&amp;valALR,'Risk Register'!BJ$4:BJ$156,"x",'Risk Register'!$E$4:$E$156,"*"&amp;$C4&amp;"*"),0)</f>
        <v>0</v>
      </c>
      <c r="F4" s="353" t="s">
        <v>1970</v>
      </c>
      <c r="G4" s="353">
        <f>IFERROR(AVERAGEIFS('Risk Register'!$AL$4:$AL$156,'Risk Register'!$J$4:$J$156,"Yes",'Risk Register'!$AL$4:$AL$156,"&gt;="&amp;valALR,'Risk Register'!BL$4:BL$156,"x",'Risk Register'!$E$4:$E$156,"*"&amp;$C4&amp;"*"),0)</f>
        <v>12</v>
      </c>
      <c r="H4" s="353">
        <f>IFERROR(AVERAGEIFS('Risk Register'!$AL$4:$AL$156,'Risk Register'!$J$4:$J$156,"Yes",'Risk Register'!$AL$4:$AL$156,"&gt;="&amp;valALR,'Risk Register'!BM$4:BM$156,"x",'Risk Register'!$E$4:$E$156,"*"&amp;$C4&amp;"*"),0)</f>
        <v>12</v>
      </c>
      <c r="I4" s="353" t="s">
        <v>1970</v>
      </c>
      <c r="J4" s="353">
        <f>IFERROR(AVERAGEIFS('Risk Register'!$AL$4:$AL$156,'Risk Register'!$J$4:$J$156,"Yes",'Risk Register'!$AL$4:$AL$156,"&gt;="&amp;valALR,'Risk Register'!BO$4:BO$156,"x",'Risk Register'!$E$4:$E$156,"*"&amp;$C4&amp;"*"),0)</f>
        <v>12</v>
      </c>
      <c r="K4" s="353" t="s">
        <v>1970</v>
      </c>
      <c r="L4" s="353" t="s">
        <v>1970</v>
      </c>
    </row>
    <row r="5" spans="1:12" x14ac:dyDescent="0.45">
      <c r="A5" s="198"/>
      <c r="B5" s="340"/>
      <c r="C5" s="343"/>
      <c r="D5" s="354"/>
      <c r="E5" s="354"/>
      <c r="F5" s="354"/>
      <c r="G5" s="354"/>
      <c r="H5" s="354"/>
      <c r="I5" s="354"/>
      <c r="J5" s="354"/>
      <c r="K5" s="354"/>
      <c r="L5" s="354"/>
    </row>
    <row r="6" spans="1:12" x14ac:dyDescent="0.45">
      <c r="A6" s="198"/>
      <c r="B6" s="340"/>
      <c r="C6" s="344"/>
      <c r="D6" s="355"/>
      <c r="E6" s="355"/>
      <c r="F6" s="355"/>
      <c r="G6" s="355"/>
      <c r="H6" s="355"/>
      <c r="I6" s="355"/>
      <c r="J6" s="355"/>
      <c r="K6" s="355"/>
      <c r="L6" s="355"/>
    </row>
    <row r="7" spans="1:12" ht="14.65" customHeight="1" x14ac:dyDescent="0.45">
      <c r="A7" s="198"/>
      <c r="B7" s="340"/>
      <c r="C7" s="342" t="s">
        <v>1092</v>
      </c>
      <c r="D7" s="353">
        <f>IFERROR(AVERAGEIFS('Risk Register'!$AL$4:$AL$156,'Risk Register'!$J$4:$J$156,"Yes",'Risk Register'!$AL$4:$AL$156,"&gt;="&amp;valALR,'Risk Register'!BI$4:BI$156,"x",'Risk Register'!$E$4:$E$156,"*"&amp;$C7&amp;"*"),0)</f>
        <v>13.333333333333334</v>
      </c>
      <c r="E7" s="353" t="s">
        <v>1970</v>
      </c>
      <c r="F7" s="353">
        <f>IFERROR(AVERAGEIFS('Risk Register'!$AL$4:$AL$156,'Risk Register'!$J$4:$J$156,"Yes",'Risk Register'!$AL$4:$AL$156,"&gt;="&amp;valALR,'Risk Register'!BK$4:BK$156,"x",'Risk Register'!$E$4:$E$156,"*"&amp;$C7&amp;"*"),0)</f>
        <v>0</v>
      </c>
      <c r="G7" s="353">
        <f>IFERROR(AVERAGEIFS('Risk Register'!$AL$4:$AL$156,'Risk Register'!$J$4:$J$156,"Yes",'Risk Register'!$AL$4:$AL$156,"&gt;="&amp;valALR,'Risk Register'!BL$4:BL$156,"x",'Risk Register'!$E$4:$E$156,"*"&amp;$C7&amp;"*"),0)</f>
        <v>12</v>
      </c>
      <c r="H7" s="353">
        <f>IFERROR(AVERAGEIFS('Risk Register'!$AL$4:$AL$156,'Risk Register'!$J$4:$J$156,"Yes",'Risk Register'!$AL$4:$AL$156,"&gt;="&amp;valALR,'Risk Register'!BM$4:BM$156,"x",'Risk Register'!$E$4:$E$156,"*"&amp;$C7&amp;"*"),0)</f>
        <v>12</v>
      </c>
      <c r="I7" s="353">
        <f>IFERROR(AVERAGEIFS('Risk Register'!$AL$4:$AL$156,'Risk Register'!$J$4:$J$156,"Yes",'Risk Register'!$AL$4:$AL$156,"&gt;="&amp;valALR,'Risk Register'!BN$4:BN$156,"x",'Risk Register'!$E$4:$E$156,"*"&amp;$C7&amp;"*"),0)</f>
        <v>0</v>
      </c>
      <c r="J7" s="353">
        <f>IFERROR(AVERAGEIFS('Risk Register'!$AL$4:$AL$156,'Risk Register'!$J$4:$J$156,"Yes",'Risk Register'!$AL$4:$AL$156,"&gt;="&amp;valALR,'Risk Register'!BO$4:BO$156,"x",'Risk Register'!$E$4:$E$156,"*"&amp;$C7&amp;"*"),0)</f>
        <v>12</v>
      </c>
      <c r="K7" s="353">
        <f>IFERROR(AVERAGEIFS('Risk Register'!$AL$4:$AL$156,'Risk Register'!$J$4:$J$156,"Yes",'Risk Register'!$AL$4:$AL$156,"&gt;="&amp;valALR,'Risk Register'!BP$4:BP$156,"x",'Risk Register'!$E$4:$E$156,"*"&amp;$C7&amp;"*"),0)</f>
        <v>0</v>
      </c>
      <c r="L7" s="353">
        <f>IFERROR(AVERAGEIFS('Risk Register'!$AL$4:$AL$156,'Risk Register'!$J$4:$J$156,"Yes",'Risk Register'!$AL$4:$AL$156,"&gt;="&amp;valALR,'Risk Register'!BQ$4:BQ$156,"x",'Risk Register'!$E$4:$E$156,"*"&amp;$C7&amp;"*"),0)</f>
        <v>0</v>
      </c>
    </row>
    <row r="8" spans="1:12" x14ac:dyDescent="0.45">
      <c r="A8" s="198"/>
      <c r="B8" s="340"/>
      <c r="C8" s="343"/>
      <c r="D8" s="354"/>
      <c r="E8" s="354"/>
      <c r="F8" s="354"/>
      <c r="G8" s="354"/>
      <c r="H8" s="354"/>
      <c r="I8" s="354"/>
      <c r="J8" s="354"/>
      <c r="K8" s="354"/>
      <c r="L8" s="354"/>
    </row>
    <row r="9" spans="1:12" x14ac:dyDescent="0.45">
      <c r="A9" s="198"/>
      <c r="B9" s="340"/>
      <c r="C9" s="344"/>
      <c r="D9" s="355"/>
      <c r="E9" s="355"/>
      <c r="F9" s="355"/>
      <c r="G9" s="355"/>
      <c r="H9" s="355"/>
      <c r="I9" s="355"/>
      <c r="J9" s="355"/>
      <c r="K9" s="355"/>
      <c r="L9" s="355"/>
    </row>
    <row r="10" spans="1:12" ht="14.65" customHeight="1" x14ac:dyDescent="0.45">
      <c r="A10" s="198"/>
      <c r="B10" s="340"/>
      <c r="C10" s="342" t="s">
        <v>1091</v>
      </c>
      <c r="D10" s="353" t="s">
        <v>1970</v>
      </c>
      <c r="E10" s="353" t="s">
        <v>1970</v>
      </c>
      <c r="F10" s="353">
        <f>IFERROR(AVERAGEIFS('Risk Register'!$AL$4:$AL$156,'Risk Register'!$J$4:$J$156,"Yes",'Risk Register'!$AL$4:$AL$156,"&gt;="&amp;valALR,'Risk Register'!BK$4:BK$156,"x",'Risk Register'!$E$4:$E$156,"*"&amp;$C10&amp;"*"),0)</f>
        <v>0</v>
      </c>
      <c r="G10" s="353">
        <f>IFERROR(AVERAGEIFS('Risk Register'!$AL$4:$AL$156,'Risk Register'!$J$4:$J$156,"Yes",'Risk Register'!$AL$4:$AL$156,"&gt;="&amp;valALR,'Risk Register'!BL$4:BL$156,"x",'Risk Register'!$E$4:$E$156,"*"&amp;$C10&amp;"*"),0)</f>
        <v>12</v>
      </c>
      <c r="H10" s="353">
        <f>IFERROR(AVERAGEIFS('Risk Register'!$AL$4:$AL$156,'Risk Register'!$J$4:$J$156,"Yes",'Risk Register'!$AL$4:$AL$156,"&gt;="&amp;valALR,'Risk Register'!BM$4:BM$156,"x",'Risk Register'!$E$4:$E$156,"*"&amp;$C10&amp;"*"),0)</f>
        <v>12</v>
      </c>
      <c r="I10" s="353">
        <f>IFERROR(AVERAGEIFS('Risk Register'!$AL$4:$AL$156,'Risk Register'!$J$4:$J$156,"Yes",'Risk Register'!$AL$4:$AL$156,"&gt;="&amp;valALR,'Risk Register'!BN$4:BN$156,"x",'Risk Register'!$E$4:$E$156,"*"&amp;$C10&amp;"*"),0)</f>
        <v>0</v>
      </c>
      <c r="J10" s="353">
        <f>IFERROR(AVERAGEIFS('Risk Register'!$AL$4:$AL$156,'Risk Register'!$J$4:$J$156,"Yes",'Risk Register'!$AL$4:$AL$156,"&gt;="&amp;valALR,'Risk Register'!BO$4:BO$156,"x",'Risk Register'!$E$4:$E$156,"*"&amp;$C10&amp;"*"),0)</f>
        <v>12</v>
      </c>
      <c r="K10" s="353">
        <f>IFERROR(AVERAGEIFS('Risk Register'!$AL$4:$AL$156,'Risk Register'!$J$4:$J$156,"Yes",'Risk Register'!$AL$4:$AL$156,"&gt;="&amp;valALR,'Risk Register'!BP$4:BP$156,"x",'Risk Register'!$E$4:$E$156,"*"&amp;$C10&amp;"*"),0)</f>
        <v>0</v>
      </c>
      <c r="L10" s="353">
        <f>IFERROR(AVERAGEIFS('Risk Register'!$AL$4:$AL$156,'Risk Register'!$J$4:$J$156,"Yes",'Risk Register'!$AL$4:$AL$156,"&gt;="&amp;valALR,'Risk Register'!BQ$4:BQ$156,"x",'Risk Register'!$E$4:$E$156,"*"&amp;$C10&amp;"*"),0)</f>
        <v>0</v>
      </c>
    </row>
    <row r="11" spans="1:12" x14ac:dyDescent="0.45">
      <c r="A11" s="198"/>
      <c r="B11" s="340"/>
      <c r="C11" s="343"/>
      <c r="D11" s="354"/>
      <c r="E11" s="354"/>
      <c r="F11" s="354"/>
      <c r="G11" s="354"/>
      <c r="H11" s="354"/>
      <c r="I11" s="354"/>
      <c r="J11" s="354"/>
      <c r="K11" s="354"/>
      <c r="L11" s="354"/>
    </row>
    <row r="12" spans="1:12" x14ac:dyDescent="0.45">
      <c r="A12" s="198"/>
      <c r="B12" s="340"/>
      <c r="C12" s="344"/>
      <c r="D12" s="355"/>
      <c r="E12" s="355"/>
      <c r="F12" s="355"/>
      <c r="G12" s="355"/>
      <c r="H12" s="355"/>
      <c r="I12" s="355"/>
      <c r="J12" s="355"/>
      <c r="K12" s="355"/>
      <c r="L12" s="355"/>
    </row>
    <row r="13" spans="1:12" ht="14.65" customHeight="1" x14ac:dyDescent="0.45">
      <c r="A13" s="198"/>
      <c r="B13" s="340"/>
      <c r="C13" s="342" t="s">
        <v>1090</v>
      </c>
      <c r="D13" s="353" t="s">
        <v>1970</v>
      </c>
      <c r="E13" s="353" t="s">
        <v>1970</v>
      </c>
      <c r="F13" s="353" t="s">
        <v>1970</v>
      </c>
      <c r="G13" s="353">
        <f>IFERROR(AVERAGEIFS('Risk Register'!$AL$4:$AL$156,'Risk Register'!$J$4:$J$156,"Yes",'Risk Register'!$AL$4:$AL$156,"&gt;="&amp;valALR,'Risk Register'!BL$4:BL$156,"x",'Risk Register'!$E$4:$E$156,"*"&amp;$C13&amp;"*"),0)</f>
        <v>12</v>
      </c>
      <c r="H13" s="353">
        <f>IFERROR(AVERAGEIFS('Risk Register'!$AL$4:$AL$156,'Risk Register'!$J$4:$J$156,"Yes",'Risk Register'!$AL$4:$AL$156,"&gt;="&amp;valALR,'Risk Register'!BM$4:BM$156,"x",'Risk Register'!$E$4:$E$156,"*"&amp;$C13&amp;"*"),0)</f>
        <v>12</v>
      </c>
      <c r="I13" s="353" t="s">
        <v>1970</v>
      </c>
      <c r="J13" s="353">
        <f>IFERROR(AVERAGEIFS('Risk Register'!$AL$4:$AL$156,'Risk Register'!$J$4:$J$156,"Yes",'Risk Register'!$AL$4:$AL$156,"&gt;="&amp;valALR,'Risk Register'!BO$4:BO$156,"x",'Risk Register'!$E$4:$E$156,"*"&amp;$C13&amp;"*"),0)</f>
        <v>12</v>
      </c>
      <c r="K13" s="353" t="s">
        <v>1970</v>
      </c>
      <c r="L13" s="353">
        <f>IFERROR(AVERAGEIFS('Risk Register'!$AL$4:$AL$156,'Risk Register'!$J$4:$J$156,"Yes",'Risk Register'!$AL$4:$AL$156,"&gt;="&amp;valALR,'Risk Register'!BQ$4:BQ$156,"x",'Risk Register'!$E$4:$E$156,"*"&amp;$C13&amp;"*"),0)</f>
        <v>0</v>
      </c>
    </row>
    <row r="14" spans="1:12" x14ac:dyDescent="0.45">
      <c r="A14" s="198"/>
      <c r="B14" s="340"/>
      <c r="C14" s="343"/>
      <c r="D14" s="354"/>
      <c r="E14" s="354"/>
      <c r="F14" s="354"/>
      <c r="G14" s="354"/>
      <c r="H14" s="354"/>
      <c r="I14" s="354"/>
      <c r="J14" s="354"/>
      <c r="K14" s="354"/>
      <c r="L14" s="354"/>
    </row>
    <row r="15" spans="1:12" x14ac:dyDescent="0.45">
      <c r="A15" s="198"/>
      <c r="B15" s="340"/>
      <c r="C15" s="344"/>
      <c r="D15" s="355"/>
      <c r="E15" s="355"/>
      <c r="F15" s="355"/>
      <c r="G15" s="355"/>
      <c r="H15" s="355"/>
      <c r="I15" s="355"/>
      <c r="J15" s="355"/>
      <c r="K15" s="355"/>
      <c r="L15" s="355"/>
    </row>
    <row r="16" spans="1:12" ht="14.65" customHeight="1" x14ac:dyDescent="0.45">
      <c r="A16" s="198"/>
      <c r="B16" s="340"/>
      <c r="C16" s="342" t="s">
        <v>1097</v>
      </c>
      <c r="D16" s="353" t="s">
        <v>1970</v>
      </c>
      <c r="E16" s="353" t="s">
        <v>1970</v>
      </c>
      <c r="F16" s="353" t="s">
        <v>1970</v>
      </c>
      <c r="G16" s="353" t="s">
        <v>1970</v>
      </c>
      <c r="H16" s="353" t="s">
        <v>1970</v>
      </c>
      <c r="I16" s="353" t="s">
        <v>1970</v>
      </c>
      <c r="J16" s="353" t="s">
        <v>1970</v>
      </c>
      <c r="K16" s="353" t="s">
        <v>1970</v>
      </c>
      <c r="L16" s="353">
        <f>IFERROR(AVERAGEIFS('Risk Register'!$AL$4:$AL$156,'Risk Register'!$J$4:$J$156,"Yes",'Risk Register'!$AL$4:$AL$156,"&gt;="&amp;valALR,'Risk Register'!BQ$4:BQ$156,"x",'Risk Register'!$E$4:$E$156,"*"&amp;$C16&amp;"*"),0)</f>
        <v>0</v>
      </c>
    </row>
    <row r="17" spans="1:12" x14ac:dyDescent="0.45">
      <c r="A17" s="198"/>
      <c r="B17" s="340"/>
      <c r="C17" s="343"/>
      <c r="D17" s="354"/>
      <c r="E17" s="354"/>
      <c r="F17" s="354"/>
      <c r="G17" s="354"/>
      <c r="H17" s="354"/>
      <c r="I17" s="354"/>
      <c r="J17" s="354"/>
      <c r="K17" s="354"/>
      <c r="L17" s="354"/>
    </row>
    <row r="18" spans="1:12" x14ac:dyDescent="0.45">
      <c r="A18" s="198"/>
      <c r="B18" s="341"/>
      <c r="C18" s="344"/>
      <c r="D18" s="355"/>
      <c r="E18" s="355"/>
      <c r="F18" s="355"/>
      <c r="G18" s="355"/>
      <c r="H18" s="355"/>
      <c r="I18" s="355"/>
      <c r="J18" s="355"/>
      <c r="K18" s="355"/>
      <c r="L18" s="355"/>
    </row>
    <row r="21" spans="1:12" x14ac:dyDescent="0.45">
      <c r="A21" s="17"/>
      <c r="D21" s="202" t="s">
        <v>1969</v>
      </c>
    </row>
    <row r="24" spans="1:12" x14ac:dyDescent="0.45">
      <c r="D24" s="203" t="s">
        <v>1116</v>
      </c>
    </row>
    <row r="25" spans="1:12" x14ac:dyDescent="0.45">
      <c r="D25" s="204"/>
      <c r="E25" s="202" t="s">
        <v>1117</v>
      </c>
    </row>
    <row r="26" spans="1:12" x14ac:dyDescent="0.45">
      <c r="D26" s="205"/>
      <c r="E26" s="202" t="s">
        <v>1118</v>
      </c>
    </row>
    <row r="27" spans="1:12" x14ac:dyDescent="0.45">
      <c r="D27" s="206"/>
      <c r="E27" s="202" t="s">
        <v>1119</v>
      </c>
    </row>
    <row r="28" spans="1:12" x14ac:dyDescent="0.45">
      <c r="D28" s="295" t="s">
        <v>1970</v>
      </c>
      <c r="E28" s="202" t="s">
        <v>1971</v>
      </c>
    </row>
  </sheetData>
  <mergeCells count="52">
    <mergeCell ref="C16:C18"/>
    <mergeCell ref="D16:D18"/>
    <mergeCell ref="E16:E18"/>
    <mergeCell ref="F16:F18"/>
    <mergeCell ref="G16:G18"/>
    <mergeCell ref="H13:H15"/>
    <mergeCell ref="I13:I15"/>
    <mergeCell ref="J13:J15"/>
    <mergeCell ref="K16:K18"/>
    <mergeCell ref="L16:L18"/>
    <mergeCell ref="K13:K15"/>
    <mergeCell ref="L13:L15"/>
    <mergeCell ref="H16:H18"/>
    <mergeCell ref="I16:I18"/>
    <mergeCell ref="J16:J18"/>
    <mergeCell ref="C13:C15"/>
    <mergeCell ref="D13:D15"/>
    <mergeCell ref="E13:E15"/>
    <mergeCell ref="F13:F15"/>
    <mergeCell ref="G13:G15"/>
    <mergeCell ref="L7:L9"/>
    <mergeCell ref="C10:C12"/>
    <mergeCell ref="D10:D12"/>
    <mergeCell ref="E10:E12"/>
    <mergeCell ref="F10:F12"/>
    <mergeCell ref="G10:G12"/>
    <mergeCell ref="H10:H12"/>
    <mergeCell ref="I10:I12"/>
    <mergeCell ref="J10:J12"/>
    <mergeCell ref="K10:K12"/>
    <mergeCell ref="L10:L12"/>
    <mergeCell ref="G7:G9"/>
    <mergeCell ref="H7:H9"/>
    <mergeCell ref="I7:I9"/>
    <mergeCell ref="J7:J9"/>
    <mergeCell ref="K7:K9"/>
    <mergeCell ref="D2:L2"/>
    <mergeCell ref="B4:B18"/>
    <mergeCell ref="C4:C6"/>
    <mergeCell ref="D4:D6"/>
    <mergeCell ref="E4:E6"/>
    <mergeCell ref="F4:F6"/>
    <mergeCell ref="G4:G6"/>
    <mergeCell ref="H4:H6"/>
    <mergeCell ref="I4:I6"/>
    <mergeCell ref="J4:J6"/>
    <mergeCell ref="K4:K6"/>
    <mergeCell ref="L4:L6"/>
    <mergeCell ref="C7:C9"/>
    <mergeCell ref="D7:D9"/>
    <mergeCell ref="E7:E9"/>
    <mergeCell ref="F7:F9"/>
  </mergeCells>
  <conditionalFormatting sqref="D28">
    <cfRule type="cellIs" dxfId="15" priority="1" operator="equal">
      <formula>"-"</formula>
    </cfRule>
    <cfRule type="cellIs" dxfId="14" priority="2" operator="greaterThanOrEqual">
      <formula>valCLR</formula>
    </cfRule>
    <cfRule type="cellIs" dxfId="13" priority="3" operator="between">
      <formula>valALR</formula>
      <formula>valCLR</formula>
    </cfRule>
    <cfRule type="cellIs" dxfId="12" priority="4" operator="lessThanOrEqual">
      <formula>valALR</formula>
    </cfRule>
  </conditionalFormatting>
  <conditionalFormatting sqref="D4:L18">
    <cfRule type="cellIs" dxfId="11" priority="9" operator="equal">
      <formula>"-"</formula>
    </cfRule>
    <cfRule type="cellIs" dxfId="10" priority="11" operator="greaterThanOrEqual">
      <formula>valCLR</formula>
    </cfRule>
    <cfRule type="cellIs" dxfId="9" priority="12" operator="between">
      <formula>valALR</formula>
      <formula>valCLR</formula>
    </cfRule>
    <cfRule type="cellIs" dxfId="8" priority="13" operator="lessThanOrEqual">
      <formula>valALR</formula>
    </cfRule>
  </conditionalFormatting>
  <pageMargins left="0.25" right="0.25" top="0.75" bottom="0.75" header="0.3" footer="0.3"/>
  <pageSetup scale="82"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0F652-CB41-4D98-BC49-3FD684FFCF29}">
  <sheetPr>
    <tabColor rgb="FF0086BF"/>
    <pageSetUpPr fitToPage="1"/>
  </sheetPr>
  <dimension ref="A1:L28"/>
  <sheetViews>
    <sheetView showGridLines="0" zoomScale="120" zoomScaleNormal="130" workbookViewId="0">
      <selection activeCell="J26" sqref="J26"/>
    </sheetView>
  </sheetViews>
  <sheetFormatPr defaultRowHeight="14.25" x14ac:dyDescent="0.45"/>
  <cols>
    <col min="1" max="3" width="9" customWidth="1"/>
    <col min="4" max="12" width="14.73046875" style="197" customWidth="1"/>
  </cols>
  <sheetData>
    <row r="1" spans="1:12" x14ac:dyDescent="0.45">
      <c r="B1" s="196" t="s">
        <v>1120</v>
      </c>
    </row>
    <row r="2" spans="1:12" ht="15.75" x14ac:dyDescent="0.45">
      <c r="B2" s="196"/>
      <c r="C2" s="198"/>
      <c r="D2" s="349" t="s">
        <v>1111</v>
      </c>
      <c r="E2" s="349"/>
      <c r="F2" s="349"/>
      <c r="G2" s="349"/>
      <c r="H2" s="349"/>
      <c r="I2" s="349"/>
      <c r="J2" s="349"/>
      <c r="K2" s="349"/>
      <c r="L2" s="349"/>
    </row>
    <row r="3" spans="1:12" ht="39.4" x14ac:dyDescent="0.45">
      <c r="A3" s="198"/>
      <c r="B3" s="199"/>
      <c r="C3" s="200" t="s">
        <v>1112</v>
      </c>
      <c r="D3" s="201" t="s">
        <v>1099</v>
      </c>
      <c r="E3" s="201" t="s">
        <v>1100</v>
      </c>
      <c r="F3" s="201" t="s">
        <v>1101</v>
      </c>
      <c r="G3" s="201" t="s">
        <v>1102</v>
      </c>
      <c r="H3" s="201" t="s">
        <v>1113</v>
      </c>
      <c r="I3" s="201" t="s">
        <v>1104</v>
      </c>
      <c r="J3" s="201" t="s">
        <v>1105</v>
      </c>
      <c r="K3" s="201" t="s">
        <v>1106</v>
      </c>
      <c r="L3" s="201" t="s">
        <v>1107</v>
      </c>
    </row>
    <row r="4" spans="1:12" ht="14.65" customHeight="1" x14ac:dyDescent="0.45">
      <c r="A4" s="198"/>
      <c r="B4" s="339" t="s">
        <v>1114</v>
      </c>
      <c r="C4" s="342" t="s">
        <v>1089</v>
      </c>
      <c r="D4" s="353" t="s">
        <v>1970</v>
      </c>
      <c r="E4" s="353" t="s">
        <v>1970</v>
      </c>
      <c r="F4" s="353" t="s">
        <v>1970</v>
      </c>
      <c r="G4" s="353" t="s">
        <v>1970</v>
      </c>
      <c r="H4" s="353">
        <f>IFERROR(AVERAGEIFS('Risk Register'!$AL$4:$AL$156,'Risk Register'!$L$4:$L$156,"Yes",'Risk Register'!$AL$4:$AL$156,"&gt;="&amp;valALR,'Risk Register'!BM$4:BM$156,"x",'Risk Register'!$E$4:$E$156,"*"&amp;$C4&amp;"*"),0)</f>
        <v>12</v>
      </c>
      <c r="I4" s="353" t="s">
        <v>1970</v>
      </c>
      <c r="J4" s="353">
        <f>IFERROR(AVERAGEIFS('Risk Register'!$AL$4:$AL$156,'Risk Register'!$L$4:$L$156,"Yes",'Risk Register'!$AL$4:$AL$156,"&gt;="&amp;valALR,'Risk Register'!BO$4:BO$156,"x",'Risk Register'!$E$4:$E$156,"*"&amp;$C4&amp;"*"),0)</f>
        <v>12</v>
      </c>
      <c r="K4" s="353" t="s">
        <v>1970</v>
      </c>
      <c r="L4" s="353" t="s">
        <v>1970</v>
      </c>
    </row>
    <row r="5" spans="1:12" x14ac:dyDescent="0.45">
      <c r="A5" s="198"/>
      <c r="B5" s="340"/>
      <c r="C5" s="343"/>
      <c r="D5" s="356"/>
      <c r="E5" s="356"/>
      <c r="F5" s="356"/>
      <c r="G5" s="356"/>
      <c r="H5" s="354"/>
      <c r="I5" s="356"/>
      <c r="J5" s="354"/>
      <c r="K5" s="356"/>
      <c r="L5" s="356"/>
    </row>
    <row r="6" spans="1:12" x14ac:dyDescent="0.45">
      <c r="A6" s="198"/>
      <c r="B6" s="340"/>
      <c r="C6" s="344"/>
      <c r="D6" s="357"/>
      <c r="E6" s="357"/>
      <c r="F6" s="357"/>
      <c r="G6" s="357"/>
      <c r="H6" s="355"/>
      <c r="I6" s="357"/>
      <c r="J6" s="355"/>
      <c r="K6" s="357"/>
      <c r="L6" s="357"/>
    </row>
    <row r="7" spans="1:12" ht="14.65" customHeight="1" x14ac:dyDescent="0.45">
      <c r="A7" s="198"/>
      <c r="B7" s="340"/>
      <c r="C7" s="342" t="s">
        <v>1092</v>
      </c>
      <c r="D7" s="353" t="s">
        <v>1970</v>
      </c>
      <c r="E7" s="353" t="s">
        <v>1970</v>
      </c>
      <c r="F7" s="353" t="s">
        <v>1970</v>
      </c>
      <c r="G7" s="353">
        <f>IFERROR(AVERAGEIFS('Risk Register'!$AL$4:$AL$156,'Risk Register'!$L$4:$L$156,"Yes",'Risk Register'!$AL$4:$AL$156,"&gt;="&amp;valALR,'Risk Register'!BL$4:BL$156,"x",'Risk Register'!$E$4:$E$156,"*"&amp;$C7&amp;"*"),0)</f>
        <v>12</v>
      </c>
      <c r="H7" s="353">
        <f>IFERROR(AVERAGEIFS('Risk Register'!$AL$4:$AL$156,'Risk Register'!$L$4:$L$156,"Yes",'Risk Register'!$AL$4:$AL$156,"&gt;="&amp;valALR,'Risk Register'!BM$4:BM$156,"x",'Risk Register'!$E$4:$E$156,"*"&amp;$C7&amp;"*"),0)</f>
        <v>12</v>
      </c>
      <c r="I7" s="353" t="s">
        <v>1970</v>
      </c>
      <c r="J7" s="353">
        <f>IFERROR(AVERAGEIFS('Risk Register'!$AL$4:$AL$156,'Risk Register'!$L$4:$L$156,"Yes",'Risk Register'!$AL$4:$AL$156,"&gt;="&amp;valALR,'Risk Register'!BO$4:BO$156,"x",'Risk Register'!$E$4:$E$156,"*"&amp;$C7&amp;"*"),0)</f>
        <v>12</v>
      </c>
      <c r="K7" s="353">
        <f>IFERROR(AVERAGEIFS('Risk Register'!$AL$4:$AL$156,'Risk Register'!$L$4:$L$156,"Yes",'Risk Register'!$AL$4:$AL$156,"&gt;="&amp;valALR,'Risk Register'!BP$4:BP$156,"x",'Risk Register'!$E$4:$E$156,"*"&amp;$C7&amp;"*"),0)</f>
        <v>0</v>
      </c>
      <c r="L7" s="353" t="s">
        <v>1970</v>
      </c>
    </row>
    <row r="8" spans="1:12" x14ac:dyDescent="0.45">
      <c r="A8" s="198"/>
      <c r="B8" s="340"/>
      <c r="C8" s="343"/>
      <c r="D8" s="356"/>
      <c r="E8" s="356"/>
      <c r="F8" s="356"/>
      <c r="G8" s="354"/>
      <c r="H8" s="354"/>
      <c r="I8" s="356"/>
      <c r="J8" s="354"/>
      <c r="K8" s="354"/>
      <c r="L8" s="356"/>
    </row>
    <row r="9" spans="1:12" x14ac:dyDescent="0.45">
      <c r="A9" s="198"/>
      <c r="B9" s="340"/>
      <c r="C9" s="344"/>
      <c r="D9" s="357"/>
      <c r="E9" s="357"/>
      <c r="F9" s="357"/>
      <c r="G9" s="355"/>
      <c r="H9" s="355"/>
      <c r="I9" s="357"/>
      <c r="J9" s="355"/>
      <c r="K9" s="355"/>
      <c r="L9" s="357"/>
    </row>
    <row r="10" spans="1:12" ht="14.65" customHeight="1" x14ac:dyDescent="0.45">
      <c r="A10" s="198"/>
      <c r="B10" s="340"/>
      <c r="C10" s="342" t="s">
        <v>1091</v>
      </c>
      <c r="D10" s="353" t="s">
        <v>1970</v>
      </c>
      <c r="E10" s="353" t="s">
        <v>1970</v>
      </c>
      <c r="F10" s="353" t="s">
        <v>1970</v>
      </c>
      <c r="G10" s="353">
        <f>IFERROR(AVERAGEIFS('Risk Register'!$AL$4:$AL$156,'Risk Register'!$L$4:$L$156,"Yes",'Risk Register'!$AL$4:$AL$156,"&gt;="&amp;valALR,'Risk Register'!BL$4:BL$156,"x",'Risk Register'!$E$4:$E$156,"*"&amp;$C10&amp;"*"),0)</f>
        <v>12</v>
      </c>
      <c r="H10" s="353">
        <f>IFERROR(AVERAGEIFS('Risk Register'!$AL$4:$AL$156,'Risk Register'!$L$4:$L$156,"Yes",'Risk Register'!$AL$4:$AL$156,"&gt;="&amp;valALR,'Risk Register'!BM$4:BM$156,"x",'Risk Register'!$E$4:$E$156,"*"&amp;$C10&amp;"*"),0)</f>
        <v>12</v>
      </c>
      <c r="I10" s="353" t="s">
        <v>1970</v>
      </c>
      <c r="J10" s="353">
        <f>IFERROR(AVERAGEIFS('Risk Register'!$AL$4:$AL$156,'Risk Register'!$L$4:$L$156,"Yes",'Risk Register'!$AL$4:$AL$156,"&gt;="&amp;valALR,'Risk Register'!BO$4:BO$156,"x",'Risk Register'!$E$4:$E$156,"*"&amp;$C10&amp;"*"),0)</f>
        <v>12</v>
      </c>
      <c r="K10" s="353">
        <f>IFERROR(AVERAGEIFS('Risk Register'!$AL$4:$AL$156,'Risk Register'!$L$4:$L$156,"Yes",'Risk Register'!$AL$4:$AL$156,"&gt;="&amp;valALR,'Risk Register'!BP$4:BP$156,"x",'Risk Register'!$E$4:$E$156,"*"&amp;$C10&amp;"*"),0)</f>
        <v>0</v>
      </c>
      <c r="L10" s="353" t="s">
        <v>1970</v>
      </c>
    </row>
    <row r="11" spans="1:12" x14ac:dyDescent="0.45">
      <c r="A11" s="198"/>
      <c r="B11" s="340"/>
      <c r="C11" s="343"/>
      <c r="D11" s="356"/>
      <c r="E11" s="356"/>
      <c r="F11" s="356"/>
      <c r="G11" s="354"/>
      <c r="H11" s="354"/>
      <c r="I11" s="356"/>
      <c r="J11" s="354"/>
      <c r="K11" s="354"/>
      <c r="L11" s="356"/>
    </row>
    <row r="12" spans="1:12" x14ac:dyDescent="0.45">
      <c r="A12" s="198"/>
      <c r="B12" s="340"/>
      <c r="C12" s="344"/>
      <c r="D12" s="357"/>
      <c r="E12" s="357"/>
      <c r="F12" s="357"/>
      <c r="G12" s="355"/>
      <c r="H12" s="355"/>
      <c r="I12" s="357"/>
      <c r="J12" s="355"/>
      <c r="K12" s="355"/>
      <c r="L12" s="357"/>
    </row>
    <row r="13" spans="1:12" ht="14.65" customHeight="1" x14ac:dyDescent="0.45">
      <c r="A13" s="198"/>
      <c r="B13" s="340"/>
      <c r="C13" s="342" t="s">
        <v>1090</v>
      </c>
      <c r="D13" s="353" t="s">
        <v>1970</v>
      </c>
      <c r="E13" s="353" t="s">
        <v>1970</v>
      </c>
      <c r="F13" s="353" t="s">
        <v>1970</v>
      </c>
      <c r="G13" s="353">
        <f>IFERROR(AVERAGEIFS('Risk Register'!$AL$4:$AL$156,'Risk Register'!$L$4:$L$156,"Yes",'Risk Register'!$AL$4:$AL$156,"&gt;="&amp;valALR,'Risk Register'!BL$4:BL$156,"x",'Risk Register'!$E$4:$E$156,"*"&amp;$C13&amp;"*"),0)</f>
        <v>12</v>
      </c>
      <c r="H13" s="353">
        <f>IFERROR(AVERAGEIFS('Risk Register'!$AL$4:$AL$156,'Risk Register'!$L$4:$L$156,"Yes",'Risk Register'!$AL$4:$AL$156,"&gt;="&amp;valALR,'Risk Register'!BM$4:BM$156,"x",'Risk Register'!$E$4:$E$156,"*"&amp;$C13&amp;"*"),0)</f>
        <v>12</v>
      </c>
      <c r="I13" s="353" t="s">
        <v>1970</v>
      </c>
      <c r="J13" s="353">
        <f>IFERROR(AVERAGEIFS('Risk Register'!$AL$4:$AL$156,'Risk Register'!$L$4:$L$156,"Yes",'Risk Register'!$AL$4:$AL$156,"&gt;="&amp;valALR,'Risk Register'!BO$4:BO$156,"x",'Risk Register'!$E$4:$E$156,"*"&amp;$C13&amp;"*"),0)</f>
        <v>12</v>
      </c>
      <c r="K13" s="353" t="s">
        <v>1970</v>
      </c>
      <c r="L13" s="353">
        <f>IFERROR(AVERAGEIFS('Risk Register'!$AL$4:$AL$156,'Risk Register'!$L$4:$L$156,"Yes",'Risk Register'!$AL$4:$AL$156,"&gt;="&amp;valALR,'Risk Register'!BQ$4:BQ$156,"x",'Risk Register'!$E$4:$E$156,"*"&amp;$C13&amp;"*"),0)</f>
        <v>0</v>
      </c>
    </row>
    <row r="14" spans="1:12" x14ac:dyDescent="0.45">
      <c r="A14" s="198"/>
      <c r="B14" s="340"/>
      <c r="C14" s="343"/>
      <c r="D14" s="356"/>
      <c r="E14" s="356"/>
      <c r="F14" s="356"/>
      <c r="G14" s="354"/>
      <c r="H14" s="354"/>
      <c r="I14" s="356"/>
      <c r="J14" s="354"/>
      <c r="K14" s="356"/>
      <c r="L14" s="354"/>
    </row>
    <row r="15" spans="1:12" x14ac:dyDescent="0.45">
      <c r="A15" s="198"/>
      <c r="B15" s="340"/>
      <c r="C15" s="344"/>
      <c r="D15" s="357"/>
      <c r="E15" s="357"/>
      <c r="F15" s="357"/>
      <c r="G15" s="355"/>
      <c r="H15" s="355"/>
      <c r="I15" s="357"/>
      <c r="J15" s="355"/>
      <c r="K15" s="357"/>
      <c r="L15" s="355"/>
    </row>
    <row r="16" spans="1:12" ht="14.65" customHeight="1" x14ac:dyDescent="0.45">
      <c r="A16" s="198"/>
      <c r="B16" s="340"/>
      <c r="C16" s="342" t="s">
        <v>1097</v>
      </c>
      <c r="D16" s="353" t="s">
        <v>1970</v>
      </c>
      <c r="E16" s="353" t="s">
        <v>1970</v>
      </c>
      <c r="F16" s="353" t="s">
        <v>1970</v>
      </c>
      <c r="G16" s="353" t="s">
        <v>1970</v>
      </c>
      <c r="H16" s="353" t="s">
        <v>1970</v>
      </c>
      <c r="I16" s="353" t="s">
        <v>1970</v>
      </c>
      <c r="J16" s="353" t="s">
        <v>1970</v>
      </c>
      <c r="K16" s="353" t="s">
        <v>1970</v>
      </c>
      <c r="L16" s="353">
        <f>IFERROR(AVERAGEIFS('Risk Register'!$AL$4:$AL$156,'Risk Register'!$L$4:$L$156,"Yes",'Risk Register'!$AL$4:$AL$156,"&gt;="&amp;valALR,'Risk Register'!BQ$4:BQ$156,"x",'Risk Register'!$E$4:$E$156,"*"&amp;$C16&amp;"*"),0)</f>
        <v>0</v>
      </c>
    </row>
    <row r="17" spans="1:12" x14ac:dyDescent="0.45">
      <c r="A17" s="198"/>
      <c r="B17" s="340"/>
      <c r="C17" s="343"/>
      <c r="D17" s="356"/>
      <c r="E17" s="356"/>
      <c r="F17" s="356"/>
      <c r="G17" s="356"/>
      <c r="H17" s="356"/>
      <c r="I17" s="356"/>
      <c r="J17" s="356"/>
      <c r="K17" s="356"/>
      <c r="L17" s="354"/>
    </row>
    <row r="18" spans="1:12" x14ac:dyDescent="0.45">
      <c r="A18" s="198"/>
      <c r="B18" s="341"/>
      <c r="C18" s="344"/>
      <c r="D18" s="357"/>
      <c r="E18" s="357"/>
      <c r="F18" s="357"/>
      <c r="G18" s="357"/>
      <c r="H18" s="357"/>
      <c r="I18" s="357"/>
      <c r="J18" s="357"/>
      <c r="K18" s="357"/>
      <c r="L18" s="355"/>
    </row>
    <row r="21" spans="1:12" x14ac:dyDescent="0.45">
      <c r="A21" s="17"/>
      <c r="D21" s="202" t="s">
        <v>1115</v>
      </c>
    </row>
    <row r="24" spans="1:12" x14ac:dyDescent="0.45">
      <c r="D24" s="203" t="s">
        <v>1116</v>
      </c>
    </row>
    <row r="25" spans="1:12" x14ac:dyDescent="0.45">
      <c r="D25" s="204"/>
      <c r="E25" s="202" t="s">
        <v>1117</v>
      </c>
    </row>
    <row r="26" spans="1:12" x14ac:dyDescent="0.45">
      <c r="D26" s="205"/>
      <c r="E26" s="202" t="s">
        <v>1118</v>
      </c>
    </row>
    <row r="27" spans="1:12" x14ac:dyDescent="0.45">
      <c r="D27" s="206"/>
      <c r="E27" s="202" t="s">
        <v>1119</v>
      </c>
    </row>
    <row r="28" spans="1:12" x14ac:dyDescent="0.45">
      <c r="D28" s="295" t="s">
        <v>1970</v>
      </c>
      <c r="E28" s="202" t="s">
        <v>1971</v>
      </c>
    </row>
  </sheetData>
  <mergeCells count="52">
    <mergeCell ref="C16:C18"/>
    <mergeCell ref="D16:D18"/>
    <mergeCell ref="E16:E18"/>
    <mergeCell ref="F16:F18"/>
    <mergeCell ref="G16:G18"/>
    <mergeCell ref="H13:H15"/>
    <mergeCell ref="I13:I15"/>
    <mergeCell ref="J13:J15"/>
    <mergeCell ref="K16:K18"/>
    <mergeCell ref="L16:L18"/>
    <mergeCell ref="K13:K15"/>
    <mergeCell ref="L13:L15"/>
    <mergeCell ref="H16:H18"/>
    <mergeCell ref="I16:I18"/>
    <mergeCell ref="J16:J18"/>
    <mergeCell ref="C13:C15"/>
    <mergeCell ref="D13:D15"/>
    <mergeCell ref="E13:E15"/>
    <mergeCell ref="F13:F15"/>
    <mergeCell ref="G13:G15"/>
    <mergeCell ref="L7:L9"/>
    <mergeCell ref="C10:C12"/>
    <mergeCell ref="D10:D12"/>
    <mergeCell ref="E10:E12"/>
    <mergeCell ref="F10:F12"/>
    <mergeCell ref="G10:G12"/>
    <mergeCell ref="H10:H12"/>
    <mergeCell ref="I10:I12"/>
    <mergeCell ref="J10:J12"/>
    <mergeCell ref="K10:K12"/>
    <mergeCell ref="L10:L12"/>
    <mergeCell ref="G7:G9"/>
    <mergeCell ref="H7:H9"/>
    <mergeCell ref="I7:I9"/>
    <mergeCell ref="J7:J9"/>
    <mergeCell ref="K7:K9"/>
    <mergeCell ref="D2:L2"/>
    <mergeCell ref="B4:B18"/>
    <mergeCell ref="C4:C6"/>
    <mergeCell ref="D4:D6"/>
    <mergeCell ref="E4:E6"/>
    <mergeCell ref="F4:F6"/>
    <mergeCell ref="G4:G6"/>
    <mergeCell ref="H4:H6"/>
    <mergeCell ref="I4:I6"/>
    <mergeCell ref="J4:J6"/>
    <mergeCell ref="K4:K6"/>
    <mergeCell ref="L4:L6"/>
    <mergeCell ref="C7:C9"/>
    <mergeCell ref="D7:D9"/>
    <mergeCell ref="E7:E9"/>
    <mergeCell ref="F7:F9"/>
  </mergeCells>
  <conditionalFormatting sqref="D28">
    <cfRule type="cellIs" dxfId="7" priority="1" operator="equal">
      <formula>"-"</formula>
    </cfRule>
    <cfRule type="cellIs" dxfId="6" priority="2" operator="greaterThanOrEqual">
      <formula>valCLR</formula>
    </cfRule>
    <cfRule type="cellIs" dxfId="5" priority="3" operator="between">
      <formula>valALR</formula>
      <formula>valCLR</formula>
    </cfRule>
    <cfRule type="cellIs" dxfId="4" priority="4" operator="lessThanOrEqual">
      <formula>valALR</formula>
    </cfRule>
  </conditionalFormatting>
  <conditionalFormatting sqref="D4:G4 I4 K4:L4 H4:H6 J4:J6 D7:F7 I7 L7 J7:K12 G7:H15 D10:F10 I10 L10 D13:F13 I13 K13 J13:J15 L13:L18 D16:K16">
    <cfRule type="cellIs" dxfId="3" priority="13" operator="equal">
      <formula>"-"</formula>
    </cfRule>
    <cfRule type="cellIs" dxfId="2" priority="18" operator="greaterThanOrEqual">
      <formula>valCLR</formula>
    </cfRule>
    <cfRule type="cellIs" dxfId="1" priority="19" operator="between">
      <formula>valALR</formula>
      <formula>valCLR</formula>
    </cfRule>
    <cfRule type="cellIs" dxfId="0" priority="20" operator="lessThanOrEqual">
      <formula>valALR</formula>
    </cfRule>
  </conditionalFormatting>
  <pageMargins left="0.25" right="0.25" top="0.75" bottom="0.75" header="0.3" footer="0.3"/>
  <pageSetup scale="82"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dimension ref="A1:I143"/>
  <sheetViews>
    <sheetView workbookViewId="0"/>
  </sheetViews>
  <sheetFormatPr defaultRowHeight="14.25" x14ac:dyDescent="0.45"/>
  <cols>
    <col min="1" max="1" width="29.86328125" style="9" bestFit="1" customWidth="1"/>
    <col min="2" max="2" width="35.1328125" style="9" customWidth="1"/>
    <col min="3" max="3" width="81.1328125" style="9" customWidth="1"/>
    <col min="4" max="4" width="45.73046875" customWidth="1" collapsed="1"/>
    <col min="5" max="5" width="38.1328125" customWidth="1"/>
    <col min="6" max="6" width="26" customWidth="1"/>
    <col min="7" max="7" width="31.1328125" customWidth="1"/>
    <col min="8" max="8" width="12.1328125" bestFit="1" customWidth="1"/>
    <col min="9" max="9" width="32.73046875" customWidth="1"/>
  </cols>
  <sheetData>
    <row r="1" spans="1:9" ht="28.5" x14ac:dyDescent="0.45">
      <c r="A1" s="29" t="s">
        <v>181</v>
      </c>
      <c r="B1" s="29" t="s">
        <v>182</v>
      </c>
      <c r="C1" s="29" t="s">
        <v>183</v>
      </c>
      <c r="D1" s="29" t="s">
        <v>184</v>
      </c>
      <c r="E1" s="29" t="s">
        <v>185</v>
      </c>
      <c r="F1" s="29" t="s">
        <v>186</v>
      </c>
      <c r="G1" s="29" t="s">
        <v>187</v>
      </c>
      <c r="H1" s="29" t="s">
        <v>188</v>
      </c>
      <c r="I1" s="29" t="s">
        <v>189</v>
      </c>
    </row>
    <row r="2" spans="1:9" ht="42.75" x14ac:dyDescent="0.45">
      <c r="A2" s="9" t="s">
        <v>190</v>
      </c>
      <c r="B2" s="9" t="s">
        <v>191</v>
      </c>
      <c r="C2" s="9" t="s">
        <v>192</v>
      </c>
      <c r="D2" s="9"/>
      <c r="E2" s="9"/>
      <c r="F2" s="9"/>
      <c r="G2" s="9"/>
      <c r="H2" s="31"/>
      <c r="I2" s="9"/>
    </row>
    <row r="3" spans="1:9" ht="28.5" x14ac:dyDescent="0.45">
      <c r="A3" s="9" t="s">
        <v>193</v>
      </c>
      <c r="B3" s="9" t="s">
        <v>194</v>
      </c>
      <c r="C3" s="9" t="s">
        <v>195</v>
      </c>
      <c r="D3" s="9"/>
      <c r="E3" s="9"/>
      <c r="F3" s="9"/>
      <c r="G3" s="9"/>
      <c r="H3" s="31"/>
      <c r="I3" s="9"/>
    </row>
    <row r="4" spans="1:9" ht="28.5" x14ac:dyDescent="0.45">
      <c r="A4" s="9" t="s">
        <v>196</v>
      </c>
      <c r="B4" s="9" t="s">
        <v>197</v>
      </c>
      <c r="C4" s="9" t="s">
        <v>198</v>
      </c>
      <c r="D4" s="9"/>
      <c r="E4" s="9"/>
      <c r="F4" s="9"/>
      <c r="G4" s="9"/>
      <c r="H4" s="31"/>
      <c r="I4" s="9"/>
    </row>
    <row r="5" spans="1:9" ht="28.5" x14ac:dyDescent="0.45">
      <c r="A5" s="9" t="s">
        <v>199</v>
      </c>
      <c r="B5" s="9" t="s">
        <v>200</v>
      </c>
      <c r="C5" s="9" t="s">
        <v>201</v>
      </c>
      <c r="D5" s="9"/>
      <c r="E5" s="9"/>
      <c r="F5" s="9"/>
      <c r="G5" s="9"/>
      <c r="H5" s="31"/>
      <c r="I5" s="9"/>
    </row>
    <row r="6" spans="1:9" x14ac:dyDescent="0.45">
      <c r="A6" s="9" t="s">
        <v>202</v>
      </c>
      <c r="B6" s="9" t="s">
        <v>203</v>
      </c>
      <c r="C6" s="9" t="s">
        <v>204</v>
      </c>
      <c r="D6" s="9"/>
      <c r="E6" s="9"/>
      <c r="F6" s="9"/>
      <c r="G6" s="9"/>
      <c r="H6" s="31"/>
      <c r="I6" s="9"/>
    </row>
    <row r="7" spans="1:9" ht="28.5" x14ac:dyDescent="0.45">
      <c r="A7" s="9" t="s">
        <v>205</v>
      </c>
      <c r="B7" s="9" t="s">
        <v>206</v>
      </c>
      <c r="C7" s="9" t="s">
        <v>207</v>
      </c>
      <c r="D7" s="9"/>
      <c r="E7" s="9"/>
      <c r="F7" s="9"/>
      <c r="G7" s="9"/>
      <c r="H7" s="31"/>
      <c r="I7" s="9"/>
    </row>
    <row r="8" spans="1:9" ht="28.5" x14ac:dyDescent="0.45">
      <c r="A8" s="9" t="s">
        <v>208</v>
      </c>
      <c r="B8" s="9" t="s">
        <v>209</v>
      </c>
      <c r="C8" s="9" t="s">
        <v>210</v>
      </c>
      <c r="D8" s="9"/>
      <c r="E8" s="9"/>
      <c r="F8" s="9"/>
      <c r="G8" s="9"/>
      <c r="H8" s="31"/>
      <c r="I8" s="9"/>
    </row>
    <row r="9" spans="1:9" ht="28.5" x14ac:dyDescent="0.45">
      <c r="A9" s="9" t="s">
        <v>211</v>
      </c>
      <c r="B9" s="9" t="s">
        <v>212</v>
      </c>
      <c r="C9" s="9" t="s">
        <v>213</v>
      </c>
      <c r="D9" s="9"/>
      <c r="E9" s="9"/>
      <c r="F9" s="9"/>
      <c r="G9" s="9"/>
      <c r="H9" s="31"/>
      <c r="I9" s="9"/>
    </row>
    <row r="10" spans="1:9" ht="28.5" x14ac:dyDescent="0.45">
      <c r="A10" s="9" t="s">
        <v>214</v>
      </c>
      <c r="B10" s="9" t="s">
        <v>215</v>
      </c>
      <c r="C10" s="9" t="s">
        <v>216</v>
      </c>
      <c r="D10" s="9"/>
      <c r="E10" s="9"/>
      <c r="F10" s="9"/>
      <c r="G10" s="9"/>
      <c r="H10" s="31"/>
      <c r="I10" s="9"/>
    </row>
    <row r="11" spans="1:9" ht="42.75" x14ac:dyDescent="0.45">
      <c r="A11" s="9" t="s">
        <v>217</v>
      </c>
      <c r="B11" s="9" t="s">
        <v>218</v>
      </c>
      <c r="C11" s="9" t="s">
        <v>219</v>
      </c>
      <c r="D11" s="9"/>
      <c r="E11" s="9"/>
      <c r="F11" s="9"/>
      <c r="G11" s="9"/>
      <c r="H11" s="31"/>
      <c r="I11" s="9"/>
    </row>
    <row r="12" spans="1:9" ht="42.75" x14ac:dyDescent="0.45">
      <c r="A12" s="9" t="s">
        <v>220</v>
      </c>
      <c r="B12" s="9" t="s">
        <v>221</v>
      </c>
      <c r="C12" s="9" t="s">
        <v>222</v>
      </c>
      <c r="D12" s="9"/>
      <c r="E12" s="9"/>
      <c r="F12" s="9"/>
      <c r="G12" s="9"/>
      <c r="H12" s="31"/>
      <c r="I12" s="9"/>
    </row>
    <row r="13" spans="1:9" ht="28.5" x14ac:dyDescent="0.45">
      <c r="A13" s="9" t="s">
        <v>223</v>
      </c>
      <c r="B13" s="9" t="s">
        <v>224</v>
      </c>
      <c r="C13" s="9" t="s">
        <v>225</v>
      </c>
      <c r="D13" s="9"/>
      <c r="E13" s="9"/>
      <c r="F13" s="9"/>
      <c r="G13" s="9"/>
      <c r="H13" s="31"/>
      <c r="I13" s="9"/>
    </row>
    <row r="14" spans="1:9" ht="57" x14ac:dyDescent="0.45">
      <c r="A14" s="9" t="s">
        <v>226</v>
      </c>
      <c r="B14" s="9" t="s">
        <v>227</v>
      </c>
      <c r="C14" s="9" t="s">
        <v>228</v>
      </c>
      <c r="D14" s="9"/>
      <c r="E14" s="9"/>
      <c r="F14" s="9"/>
      <c r="G14" s="9"/>
      <c r="H14" s="31"/>
      <c r="I14" s="9"/>
    </row>
    <row r="15" spans="1:9" ht="42.75" x14ac:dyDescent="0.45">
      <c r="A15" s="9" t="s">
        <v>229</v>
      </c>
      <c r="B15" s="9" t="s">
        <v>230</v>
      </c>
      <c r="C15" s="9" t="s">
        <v>231</v>
      </c>
      <c r="D15" s="9"/>
      <c r="E15" s="9"/>
      <c r="F15" s="9"/>
      <c r="G15" s="9"/>
      <c r="H15" s="31"/>
      <c r="I15" s="9"/>
    </row>
    <row r="16" spans="1:9" ht="28.5" x14ac:dyDescent="0.45">
      <c r="A16" s="9" t="s">
        <v>232</v>
      </c>
      <c r="B16" s="9" t="s">
        <v>233</v>
      </c>
      <c r="C16" s="9" t="s">
        <v>234</v>
      </c>
      <c r="D16" s="9"/>
      <c r="E16" s="9"/>
      <c r="F16" s="9"/>
      <c r="G16" s="9"/>
      <c r="H16" s="31"/>
      <c r="I16" s="9"/>
    </row>
    <row r="17" spans="1:9" ht="42.75" x14ac:dyDescent="0.45">
      <c r="A17" s="9" t="s">
        <v>235</v>
      </c>
      <c r="B17" s="9" t="s">
        <v>236</v>
      </c>
      <c r="C17" s="9" t="s">
        <v>237</v>
      </c>
      <c r="D17" s="9"/>
      <c r="E17" s="9"/>
      <c r="F17" s="9"/>
      <c r="G17" s="9"/>
      <c r="H17" s="31"/>
      <c r="I17" s="9"/>
    </row>
    <row r="18" spans="1:9" x14ac:dyDescent="0.45">
      <c r="A18" s="9" t="s">
        <v>238</v>
      </c>
      <c r="B18" s="9" t="s">
        <v>239</v>
      </c>
      <c r="C18" s="9" t="s">
        <v>240</v>
      </c>
      <c r="D18" s="9"/>
      <c r="E18" s="9"/>
      <c r="F18" s="9"/>
      <c r="G18" s="9"/>
      <c r="H18" s="31"/>
      <c r="I18" s="9"/>
    </row>
    <row r="19" spans="1:9" ht="42.75" x14ac:dyDescent="0.45">
      <c r="A19" s="9" t="s">
        <v>241</v>
      </c>
      <c r="B19" s="9" t="s">
        <v>242</v>
      </c>
      <c r="C19" s="9" t="s">
        <v>243</v>
      </c>
      <c r="D19" s="9"/>
      <c r="E19" s="9"/>
      <c r="F19" s="9"/>
      <c r="G19" s="9"/>
      <c r="H19" s="31"/>
      <c r="I19" s="9"/>
    </row>
    <row r="20" spans="1:9" ht="28.5" x14ac:dyDescent="0.45">
      <c r="A20" s="9" t="s">
        <v>244</v>
      </c>
      <c r="B20" s="9" t="s">
        <v>245</v>
      </c>
      <c r="C20" s="9" t="s">
        <v>246</v>
      </c>
      <c r="D20" s="9"/>
      <c r="E20" s="9"/>
      <c r="F20" s="9"/>
      <c r="G20" s="9"/>
      <c r="H20" s="31"/>
      <c r="I20" s="9"/>
    </row>
    <row r="21" spans="1:9" ht="28.5" x14ac:dyDescent="0.45">
      <c r="A21" s="9" t="s">
        <v>247</v>
      </c>
      <c r="B21" s="9" t="s">
        <v>248</v>
      </c>
      <c r="C21" s="9" t="s">
        <v>249</v>
      </c>
      <c r="D21" s="9"/>
      <c r="E21" s="9"/>
      <c r="F21" s="9"/>
      <c r="G21" s="9"/>
      <c r="H21" s="31"/>
      <c r="I21" s="9"/>
    </row>
    <row r="22" spans="1:9" ht="42.75" x14ac:dyDescent="0.45">
      <c r="A22" s="9" t="s">
        <v>250</v>
      </c>
      <c r="B22" s="9" t="s">
        <v>251</v>
      </c>
      <c r="C22" s="9" t="s">
        <v>252</v>
      </c>
      <c r="D22" s="9"/>
      <c r="E22" s="9"/>
      <c r="F22" s="9"/>
      <c r="G22" s="9"/>
      <c r="H22" s="31"/>
      <c r="I22" s="9"/>
    </row>
    <row r="23" spans="1:9" ht="28.5" x14ac:dyDescent="0.45">
      <c r="A23" s="9" t="s">
        <v>253</v>
      </c>
      <c r="B23" s="9" t="s">
        <v>254</v>
      </c>
      <c r="C23" s="9" t="s">
        <v>255</v>
      </c>
      <c r="D23" s="9"/>
      <c r="E23" s="9"/>
      <c r="F23" s="9"/>
      <c r="G23" s="9"/>
      <c r="H23" s="31"/>
      <c r="I23" s="9"/>
    </row>
    <row r="24" spans="1:9" ht="28.5" x14ac:dyDescent="0.45">
      <c r="A24" s="9" t="s">
        <v>256</v>
      </c>
      <c r="B24" s="9" t="s">
        <v>257</v>
      </c>
      <c r="C24" s="9" t="s">
        <v>258</v>
      </c>
      <c r="D24" s="9"/>
      <c r="E24" s="9"/>
      <c r="F24" s="9"/>
      <c r="G24" s="9"/>
      <c r="H24" s="31"/>
      <c r="I24" s="9"/>
    </row>
    <row r="25" spans="1:9" x14ac:dyDescent="0.45">
      <c r="A25" s="9" t="s">
        <v>259</v>
      </c>
      <c r="B25" s="9" t="s">
        <v>260</v>
      </c>
      <c r="C25" s="9" t="s">
        <v>261</v>
      </c>
      <c r="D25" s="9"/>
      <c r="E25" s="9"/>
      <c r="F25" s="9"/>
      <c r="G25" s="9"/>
      <c r="H25" s="31"/>
      <c r="I25" s="9"/>
    </row>
    <row r="26" spans="1:9" ht="28.5" x14ac:dyDescent="0.45">
      <c r="A26" s="9" t="s">
        <v>262</v>
      </c>
      <c r="B26" s="9" t="s">
        <v>263</v>
      </c>
      <c r="C26" s="9" t="s">
        <v>264</v>
      </c>
      <c r="D26" s="9"/>
      <c r="E26" s="9"/>
      <c r="F26" s="9"/>
      <c r="G26" s="9"/>
      <c r="H26" s="31"/>
      <c r="I26" s="9"/>
    </row>
    <row r="27" spans="1:9" ht="28.5" x14ac:dyDescent="0.45">
      <c r="A27" s="9" t="s">
        <v>265</v>
      </c>
      <c r="B27" s="9" t="s">
        <v>266</v>
      </c>
      <c r="C27" s="9" t="s">
        <v>267</v>
      </c>
      <c r="D27" s="9"/>
      <c r="E27" s="9"/>
      <c r="F27" s="9"/>
      <c r="G27" s="9"/>
      <c r="H27" s="31"/>
      <c r="I27" s="9"/>
    </row>
    <row r="28" spans="1:9" ht="28.5" x14ac:dyDescent="0.45">
      <c r="A28" s="9" t="s">
        <v>268</v>
      </c>
      <c r="B28" s="9" t="s">
        <v>269</v>
      </c>
      <c r="C28" s="9" t="s">
        <v>270</v>
      </c>
      <c r="D28" s="9"/>
      <c r="E28" s="9"/>
      <c r="F28" s="9"/>
      <c r="G28" s="9"/>
      <c r="H28" s="31"/>
      <c r="I28" s="9"/>
    </row>
    <row r="29" spans="1:9" ht="28.5" x14ac:dyDescent="0.45">
      <c r="A29" s="9" t="s">
        <v>271</v>
      </c>
      <c r="B29" s="9" t="s">
        <v>272</v>
      </c>
      <c r="C29" s="9" t="s">
        <v>273</v>
      </c>
      <c r="D29" s="9"/>
      <c r="E29" s="9"/>
      <c r="F29" s="9"/>
      <c r="G29" s="9"/>
      <c r="H29" s="31"/>
      <c r="I29" s="9"/>
    </row>
    <row r="30" spans="1:9" ht="28.5" x14ac:dyDescent="0.45">
      <c r="A30" s="9" t="s">
        <v>274</v>
      </c>
      <c r="B30" s="9" t="s">
        <v>275</v>
      </c>
      <c r="C30" s="9" t="s">
        <v>276</v>
      </c>
      <c r="D30" s="9"/>
      <c r="E30" s="9"/>
      <c r="F30" s="9"/>
      <c r="G30" s="9"/>
      <c r="H30" s="31"/>
      <c r="I30" s="9"/>
    </row>
    <row r="31" spans="1:9" x14ac:dyDescent="0.45">
      <c r="A31" s="9" t="s">
        <v>277</v>
      </c>
      <c r="B31" s="9" t="s">
        <v>278</v>
      </c>
      <c r="C31" s="9" t="s">
        <v>279</v>
      </c>
      <c r="D31" s="9"/>
      <c r="E31" s="9"/>
      <c r="F31" s="9"/>
      <c r="G31" s="9"/>
      <c r="H31" s="31"/>
      <c r="I31" s="9"/>
    </row>
    <row r="32" spans="1:9" ht="28.5" x14ac:dyDescent="0.45">
      <c r="A32" s="9" t="s">
        <v>280</v>
      </c>
      <c r="B32" s="9" t="s">
        <v>281</v>
      </c>
      <c r="C32" s="9" t="s">
        <v>282</v>
      </c>
      <c r="D32" s="9"/>
      <c r="E32" s="9"/>
      <c r="F32" s="9"/>
      <c r="G32" s="9"/>
      <c r="H32" s="31"/>
      <c r="I32" s="9"/>
    </row>
    <row r="33" spans="1:9" x14ac:dyDescent="0.45">
      <c r="A33" s="9" t="s">
        <v>283</v>
      </c>
      <c r="B33" s="9" t="s">
        <v>284</v>
      </c>
      <c r="C33" s="9" t="s">
        <v>285</v>
      </c>
      <c r="D33" s="9"/>
      <c r="E33" s="9"/>
      <c r="F33" s="9"/>
      <c r="G33" s="9"/>
      <c r="H33" s="31"/>
      <c r="I33" s="9"/>
    </row>
    <row r="34" spans="1:9" ht="42.75" x14ac:dyDescent="0.45">
      <c r="A34" s="9" t="s">
        <v>286</v>
      </c>
      <c r="B34" s="9" t="s">
        <v>287</v>
      </c>
      <c r="C34" s="9" t="s">
        <v>288</v>
      </c>
      <c r="D34" s="9"/>
      <c r="E34" s="9"/>
      <c r="F34" s="9"/>
      <c r="G34" s="9"/>
      <c r="H34" s="31"/>
      <c r="I34" s="9"/>
    </row>
    <row r="35" spans="1:9" ht="28.5" x14ac:dyDescent="0.45">
      <c r="A35" s="9" t="s">
        <v>289</v>
      </c>
      <c r="B35" s="9" t="s">
        <v>290</v>
      </c>
      <c r="C35" s="9" t="s">
        <v>291</v>
      </c>
      <c r="D35" s="9"/>
      <c r="E35" s="9"/>
      <c r="F35" s="9"/>
      <c r="G35" s="9"/>
      <c r="H35" s="31"/>
      <c r="I35" s="9"/>
    </row>
    <row r="36" spans="1:9" ht="28.5" x14ac:dyDescent="0.45">
      <c r="A36" s="9" t="s">
        <v>292</v>
      </c>
      <c r="B36" s="9" t="s">
        <v>293</v>
      </c>
      <c r="C36" s="9" t="s">
        <v>294</v>
      </c>
      <c r="D36" s="9"/>
      <c r="E36" s="9"/>
      <c r="F36" s="9"/>
      <c r="G36" s="9"/>
      <c r="H36" s="31"/>
      <c r="I36" s="9"/>
    </row>
    <row r="37" spans="1:9" ht="28.5" x14ac:dyDescent="0.45">
      <c r="A37" s="9" t="s">
        <v>295</v>
      </c>
      <c r="B37" s="9" t="s">
        <v>296</v>
      </c>
      <c r="C37" s="9" t="s">
        <v>297</v>
      </c>
      <c r="D37" s="9"/>
      <c r="E37" s="9"/>
      <c r="F37" s="9"/>
      <c r="G37" s="9"/>
      <c r="H37" s="31"/>
      <c r="I37" s="9"/>
    </row>
    <row r="38" spans="1:9" x14ac:dyDescent="0.45">
      <c r="A38" s="9" t="s">
        <v>298</v>
      </c>
      <c r="B38" s="9" t="s">
        <v>299</v>
      </c>
      <c r="C38" s="9" t="s">
        <v>300</v>
      </c>
      <c r="D38" s="9"/>
      <c r="E38" s="9"/>
      <c r="F38" s="9"/>
      <c r="G38" s="9"/>
      <c r="H38" s="31"/>
      <c r="I38" s="9"/>
    </row>
    <row r="39" spans="1:9" ht="28.5" x14ac:dyDescent="0.45">
      <c r="A39" s="9" t="s">
        <v>301</v>
      </c>
      <c r="B39" s="9" t="s">
        <v>302</v>
      </c>
      <c r="C39" s="9" t="s">
        <v>303</v>
      </c>
      <c r="D39" s="9"/>
      <c r="E39" s="9"/>
      <c r="F39" s="9"/>
      <c r="G39" s="9"/>
      <c r="H39" s="31"/>
      <c r="I39" s="9"/>
    </row>
    <row r="40" spans="1:9" x14ac:dyDescent="0.45">
      <c r="A40" s="9" t="s">
        <v>304</v>
      </c>
      <c r="B40" s="9" t="s">
        <v>305</v>
      </c>
      <c r="C40" s="9" t="s">
        <v>306</v>
      </c>
      <c r="D40" s="9"/>
      <c r="E40" s="9"/>
      <c r="F40" s="9"/>
      <c r="G40" s="9"/>
      <c r="H40" s="31"/>
      <c r="I40" s="9"/>
    </row>
    <row r="41" spans="1:9" ht="28.5" x14ac:dyDescent="0.45">
      <c r="A41" s="9" t="s">
        <v>307</v>
      </c>
      <c r="B41" s="9" t="s">
        <v>308</v>
      </c>
      <c r="C41" s="9" t="s">
        <v>309</v>
      </c>
      <c r="D41" s="9"/>
      <c r="E41" s="9"/>
      <c r="F41" s="9"/>
      <c r="G41" s="9"/>
      <c r="H41" s="31"/>
      <c r="I41" s="9"/>
    </row>
    <row r="42" spans="1:9" ht="28.5" x14ac:dyDescent="0.45">
      <c r="A42" s="9" t="s">
        <v>310</v>
      </c>
      <c r="B42" s="9" t="s">
        <v>311</v>
      </c>
      <c r="C42" s="9" t="s">
        <v>312</v>
      </c>
      <c r="D42" s="9"/>
      <c r="E42" s="9"/>
      <c r="F42" s="9"/>
      <c r="G42" s="9"/>
      <c r="H42" s="31"/>
      <c r="I42" s="9"/>
    </row>
    <row r="43" spans="1:9" ht="28.5" x14ac:dyDescent="0.45">
      <c r="A43" s="9" t="s">
        <v>313</v>
      </c>
      <c r="B43" s="9" t="s">
        <v>314</v>
      </c>
      <c r="C43" s="9" t="s">
        <v>315</v>
      </c>
      <c r="D43" s="9"/>
      <c r="E43" s="9"/>
      <c r="F43" s="9"/>
      <c r="G43" s="9"/>
      <c r="H43" s="31"/>
      <c r="I43" s="9"/>
    </row>
    <row r="44" spans="1:9" ht="42.75" x14ac:dyDescent="0.45">
      <c r="A44" s="9" t="s">
        <v>316</v>
      </c>
      <c r="B44" s="9" t="s">
        <v>317</v>
      </c>
      <c r="C44" s="9" t="s">
        <v>318</v>
      </c>
      <c r="D44" s="9"/>
      <c r="E44" s="9"/>
      <c r="F44" s="9"/>
      <c r="G44" s="9"/>
      <c r="H44" s="31"/>
      <c r="I44" s="9"/>
    </row>
    <row r="45" spans="1:9" x14ac:dyDescent="0.45">
      <c r="A45" s="9" t="s">
        <v>319</v>
      </c>
      <c r="B45" s="9" t="s">
        <v>320</v>
      </c>
      <c r="C45" s="9" t="s">
        <v>321</v>
      </c>
      <c r="D45" s="9"/>
      <c r="E45" s="9"/>
      <c r="F45" s="9"/>
      <c r="G45" s="9"/>
      <c r="H45" s="31"/>
      <c r="I45" s="9"/>
    </row>
    <row r="46" spans="1:9" ht="42.75" x14ac:dyDescent="0.45">
      <c r="A46" s="9" t="s">
        <v>322</v>
      </c>
      <c r="B46" s="9" t="s">
        <v>323</v>
      </c>
      <c r="C46" s="9" t="s">
        <v>324</v>
      </c>
      <c r="D46" s="9"/>
      <c r="E46" s="9"/>
      <c r="F46" s="9"/>
      <c r="G46" s="9"/>
      <c r="H46" s="31"/>
      <c r="I46" s="9"/>
    </row>
    <row r="47" spans="1:9" ht="28.5" x14ac:dyDescent="0.45">
      <c r="A47" s="9" t="s">
        <v>325</v>
      </c>
      <c r="B47" s="9" t="s">
        <v>326</v>
      </c>
      <c r="C47" s="9" t="s">
        <v>327</v>
      </c>
      <c r="D47" s="9"/>
      <c r="E47" s="9"/>
      <c r="F47" s="9"/>
      <c r="G47" s="9"/>
      <c r="H47" s="31"/>
      <c r="I47" s="9"/>
    </row>
    <row r="48" spans="1:9" ht="57" x14ac:dyDescent="0.45">
      <c r="A48" s="9" t="s">
        <v>328</v>
      </c>
      <c r="B48" s="9" t="s">
        <v>329</v>
      </c>
      <c r="C48" s="9" t="s">
        <v>330</v>
      </c>
      <c r="D48" s="9"/>
      <c r="E48" s="9"/>
      <c r="F48" s="9"/>
      <c r="G48" s="9"/>
      <c r="H48" s="31"/>
      <c r="I48" s="9"/>
    </row>
    <row r="49" spans="1:9" ht="28.5" x14ac:dyDescent="0.45">
      <c r="A49" s="9" t="s">
        <v>331</v>
      </c>
      <c r="B49" s="9" t="s">
        <v>332</v>
      </c>
      <c r="C49" s="9" t="s">
        <v>333</v>
      </c>
      <c r="D49" s="9"/>
      <c r="E49" s="9"/>
      <c r="F49" s="9"/>
      <c r="G49" s="9"/>
      <c r="H49" s="31"/>
      <c r="I49" s="9"/>
    </row>
    <row r="50" spans="1:9" ht="28.5" x14ac:dyDescent="0.45">
      <c r="A50" s="9" t="s">
        <v>334</v>
      </c>
      <c r="B50" s="9" t="s">
        <v>335</v>
      </c>
      <c r="C50" s="9" t="s">
        <v>336</v>
      </c>
      <c r="D50" s="9"/>
      <c r="E50" s="9"/>
      <c r="F50" s="9"/>
      <c r="G50" s="9"/>
      <c r="H50" s="31"/>
      <c r="I50" s="9"/>
    </row>
    <row r="51" spans="1:9" ht="28.5" x14ac:dyDescent="0.45">
      <c r="A51" s="9" t="s">
        <v>337</v>
      </c>
      <c r="B51" s="9" t="s">
        <v>338</v>
      </c>
      <c r="C51" s="9" t="s">
        <v>339</v>
      </c>
      <c r="D51" s="9"/>
      <c r="E51" s="9"/>
      <c r="F51" s="9"/>
      <c r="G51" s="9"/>
      <c r="H51" s="31"/>
      <c r="I51" s="9"/>
    </row>
    <row r="52" spans="1:9" x14ac:dyDescent="0.45">
      <c r="A52" s="9" t="s">
        <v>340</v>
      </c>
      <c r="B52" s="9" t="s">
        <v>341</v>
      </c>
      <c r="C52" s="9" t="s">
        <v>342</v>
      </c>
      <c r="D52" s="9"/>
      <c r="E52" s="9"/>
      <c r="F52" s="9"/>
      <c r="G52" s="9"/>
      <c r="H52" s="31"/>
      <c r="I52" s="9"/>
    </row>
    <row r="53" spans="1:9" x14ac:dyDescent="0.45">
      <c r="A53" s="9" t="s">
        <v>343</v>
      </c>
      <c r="B53" s="9" t="s">
        <v>344</v>
      </c>
      <c r="C53" s="9" t="s">
        <v>345</v>
      </c>
      <c r="D53" s="9"/>
      <c r="E53" s="9"/>
      <c r="F53" s="9"/>
      <c r="G53" s="9"/>
      <c r="H53" s="31"/>
      <c r="I53" s="9"/>
    </row>
    <row r="54" spans="1:9" ht="28.5" x14ac:dyDescent="0.45">
      <c r="A54" s="9" t="s">
        <v>346</v>
      </c>
      <c r="B54" s="9" t="s">
        <v>347</v>
      </c>
      <c r="C54" s="9" t="s">
        <v>348</v>
      </c>
      <c r="D54" s="9"/>
      <c r="E54" s="9"/>
      <c r="F54" s="9"/>
      <c r="G54" s="9"/>
      <c r="H54" s="31"/>
      <c r="I54" s="9"/>
    </row>
    <row r="55" spans="1:9" ht="42.75" x14ac:dyDescent="0.45">
      <c r="A55" s="9" t="s">
        <v>349</v>
      </c>
      <c r="B55" s="9" t="s">
        <v>350</v>
      </c>
      <c r="C55" s="9" t="s">
        <v>351</v>
      </c>
      <c r="D55" s="9"/>
      <c r="E55" s="9"/>
      <c r="F55" s="9"/>
      <c r="G55" s="9"/>
      <c r="H55" s="31"/>
      <c r="I55" s="9"/>
    </row>
    <row r="56" spans="1:9" x14ac:dyDescent="0.45">
      <c r="A56" s="9" t="s">
        <v>352</v>
      </c>
      <c r="B56" s="9" t="s">
        <v>353</v>
      </c>
      <c r="C56" s="9" t="s">
        <v>354</v>
      </c>
      <c r="D56" s="9"/>
      <c r="E56" s="9"/>
      <c r="F56" s="9"/>
      <c r="G56" s="9"/>
      <c r="H56" s="31"/>
      <c r="I56" s="9"/>
    </row>
    <row r="57" spans="1:9" ht="42.75" x14ac:dyDescent="0.45">
      <c r="A57" s="9" t="s">
        <v>355</v>
      </c>
      <c r="B57" s="9" t="s">
        <v>356</v>
      </c>
      <c r="C57" s="9" t="s">
        <v>357</v>
      </c>
      <c r="D57" s="9"/>
      <c r="E57" s="9"/>
      <c r="F57" s="9"/>
      <c r="G57" s="9"/>
      <c r="H57" s="31"/>
      <c r="I57" s="9"/>
    </row>
    <row r="58" spans="1:9" ht="42.75" x14ac:dyDescent="0.45">
      <c r="A58" s="9" t="s">
        <v>358</v>
      </c>
      <c r="B58" s="9" t="s">
        <v>359</v>
      </c>
      <c r="C58" s="9" t="s">
        <v>360</v>
      </c>
      <c r="D58" s="9"/>
      <c r="E58" s="9"/>
      <c r="F58" s="9"/>
      <c r="G58" s="9"/>
      <c r="H58" s="31"/>
      <c r="I58" s="9"/>
    </row>
    <row r="59" spans="1:9" ht="28.5" x14ac:dyDescent="0.45">
      <c r="A59" s="9" t="s">
        <v>361</v>
      </c>
      <c r="B59" s="9" t="s">
        <v>362</v>
      </c>
      <c r="C59" s="9" t="s">
        <v>363</v>
      </c>
      <c r="D59" s="9"/>
      <c r="E59" s="9"/>
      <c r="F59" s="9"/>
      <c r="G59" s="9"/>
      <c r="H59" s="31"/>
      <c r="I59" s="9"/>
    </row>
    <row r="60" spans="1:9" ht="42.75" x14ac:dyDescent="0.45">
      <c r="A60" s="9" t="s">
        <v>364</v>
      </c>
      <c r="B60" s="9" t="s">
        <v>365</v>
      </c>
      <c r="C60" s="9" t="s">
        <v>366</v>
      </c>
      <c r="D60" s="9"/>
      <c r="E60" s="9"/>
      <c r="F60" s="9"/>
      <c r="G60" s="9"/>
      <c r="H60" s="31"/>
      <c r="I60" s="9"/>
    </row>
    <row r="61" spans="1:9" ht="28.5" x14ac:dyDescent="0.45">
      <c r="A61" s="9" t="s">
        <v>367</v>
      </c>
      <c r="B61" s="9" t="s">
        <v>368</v>
      </c>
      <c r="C61" s="9" t="s">
        <v>369</v>
      </c>
      <c r="D61" s="9"/>
      <c r="E61" s="9"/>
      <c r="F61" s="9"/>
      <c r="G61" s="9"/>
      <c r="H61" s="31"/>
      <c r="I61" s="9"/>
    </row>
    <row r="62" spans="1:9" ht="28.5" x14ac:dyDescent="0.45">
      <c r="A62" s="9" t="s">
        <v>370</v>
      </c>
      <c r="B62" s="9" t="s">
        <v>371</v>
      </c>
      <c r="C62" s="9" t="s">
        <v>372</v>
      </c>
      <c r="D62" s="9"/>
      <c r="E62" s="9"/>
      <c r="F62" s="9"/>
      <c r="G62" s="9"/>
      <c r="H62" s="31"/>
      <c r="I62" s="9"/>
    </row>
    <row r="63" spans="1:9" ht="42.75" x14ac:dyDescent="0.45">
      <c r="A63" s="9" t="s">
        <v>373</v>
      </c>
      <c r="B63" s="9" t="s">
        <v>374</v>
      </c>
      <c r="C63" s="9" t="s">
        <v>375</v>
      </c>
      <c r="D63" s="9"/>
      <c r="E63" s="9"/>
      <c r="F63" s="9"/>
      <c r="G63" s="9"/>
      <c r="H63" s="31"/>
      <c r="I63" s="9"/>
    </row>
    <row r="64" spans="1:9" ht="28.5" x14ac:dyDescent="0.45">
      <c r="A64" s="9" t="s">
        <v>376</v>
      </c>
      <c r="B64" s="9" t="s">
        <v>377</v>
      </c>
      <c r="C64" s="9" t="s">
        <v>378</v>
      </c>
      <c r="D64" s="9"/>
      <c r="E64" s="9"/>
      <c r="F64" s="9"/>
      <c r="G64" s="9"/>
      <c r="H64" s="31"/>
      <c r="I64" s="9"/>
    </row>
    <row r="65" spans="1:9" x14ac:dyDescent="0.45">
      <c r="A65" s="9" t="s">
        <v>379</v>
      </c>
      <c r="B65" s="9" t="s">
        <v>380</v>
      </c>
      <c r="C65" s="9" t="s">
        <v>381</v>
      </c>
      <c r="D65" s="9"/>
      <c r="E65" s="9"/>
      <c r="F65" s="9"/>
      <c r="G65" s="9"/>
      <c r="H65" s="31"/>
      <c r="I65" s="9"/>
    </row>
    <row r="66" spans="1:9" ht="28.5" x14ac:dyDescent="0.45">
      <c r="A66" s="9" t="s">
        <v>382</v>
      </c>
      <c r="B66" s="9" t="s">
        <v>383</v>
      </c>
      <c r="C66" s="9" t="s">
        <v>384</v>
      </c>
      <c r="D66" s="9"/>
      <c r="E66" s="9"/>
      <c r="F66" s="9"/>
      <c r="G66" s="9"/>
      <c r="H66" s="31"/>
      <c r="I66" s="9"/>
    </row>
    <row r="67" spans="1:9" ht="42.75" x14ac:dyDescent="0.45">
      <c r="A67" s="9" t="s">
        <v>385</v>
      </c>
      <c r="B67" s="9" t="s">
        <v>386</v>
      </c>
      <c r="C67" s="9" t="s">
        <v>387</v>
      </c>
      <c r="D67" s="9"/>
      <c r="E67" s="9"/>
      <c r="F67" s="9"/>
      <c r="G67" s="9"/>
      <c r="H67" s="31"/>
      <c r="I67" s="9"/>
    </row>
    <row r="68" spans="1:9" ht="28.5" x14ac:dyDescent="0.45">
      <c r="A68" s="9" t="s">
        <v>388</v>
      </c>
      <c r="B68" s="9" t="s">
        <v>389</v>
      </c>
      <c r="C68" s="9" t="s">
        <v>390</v>
      </c>
      <c r="D68" s="9"/>
      <c r="E68" s="9"/>
      <c r="F68" s="9"/>
      <c r="G68" s="9"/>
      <c r="H68" s="31"/>
      <c r="I68" s="9"/>
    </row>
    <row r="69" spans="1:9" ht="57" x14ac:dyDescent="0.45">
      <c r="A69" s="9" t="s">
        <v>391</v>
      </c>
      <c r="B69" s="9" t="s">
        <v>392</v>
      </c>
      <c r="C69" s="9" t="s">
        <v>393</v>
      </c>
      <c r="D69" s="9"/>
      <c r="E69" s="9"/>
      <c r="F69" s="9"/>
      <c r="G69" s="9"/>
      <c r="H69" s="31"/>
      <c r="I69" s="9"/>
    </row>
    <row r="70" spans="1:9" x14ac:dyDescent="0.45">
      <c r="A70" s="9" t="s">
        <v>394</v>
      </c>
      <c r="B70" s="9" t="s">
        <v>395</v>
      </c>
      <c r="C70" s="9" t="s">
        <v>396</v>
      </c>
      <c r="D70" s="9"/>
      <c r="E70" s="9"/>
      <c r="F70" s="9"/>
      <c r="G70" s="9"/>
      <c r="H70" s="31"/>
      <c r="I70" s="9"/>
    </row>
    <row r="71" spans="1:9" ht="28.5" x14ac:dyDescent="0.45">
      <c r="A71" s="9" t="s">
        <v>397</v>
      </c>
      <c r="B71" s="9" t="s">
        <v>398</v>
      </c>
      <c r="C71" s="9" t="s">
        <v>399</v>
      </c>
      <c r="D71" s="9"/>
      <c r="E71" s="9"/>
      <c r="F71" s="9"/>
      <c r="G71" s="9"/>
      <c r="H71" s="31"/>
      <c r="I71" s="9"/>
    </row>
    <row r="72" spans="1:9" x14ac:dyDescent="0.45">
      <c r="A72" s="9" t="s">
        <v>400</v>
      </c>
      <c r="B72" s="9" t="s">
        <v>401</v>
      </c>
      <c r="C72" s="9" t="s">
        <v>402</v>
      </c>
      <c r="D72" s="9"/>
      <c r="E72" s="9"/>
      <c r="F72" s="9"/>
      <c r="G72" s="9"/>
      <c r="H72" s="31"/>
      <c r="I72" s="9"/>
    </row>
    <row r="73" spans="1:9" ht="42.75" x14ac:dyDescent="0.45">
      <c r="A73" s="9" t="s">
        <v>403</v>
      </c>
      <c r="B73" s="9" t="s">
        <v>404</v>
      </c>
      <c r="C73" s="9" t="s">
        <v>405</v>
      </c>
      <c r="D73" s="9"/>
      <c r="E73" s="9"/>
      <c r="F73" s="9"/>
      <c r="G73" s="9"/>
      <c r="H73" s="31"/>
      <c r="I73" s="9"/>
    </row>
    <row r="74" spans="1:9" x14ac:dyDescent="0.45">
      <c r="A74" s="9" t="s">
        <v>406</v>
      </c>
      <c r="B74" s="9" t="s">
        <v>407</v>
      </c>
      <c r="C74" s="9" t="s">
        <v>408</v>
      </c>
      <c r="D74" s="9"/>
      <c r="E74" s="9"/>
      <c r="F74" s="9"/>
      <c r="G74" s="9"/>
      <c r="H74" s="31"/>
      <c r="I74" s="9"/>
    </row>
    <row r="75" spans="1:9" ht="28.5" x14ac:dyDescent="0.45">
      <c r="A75" s="9" t="s">
        <v>409</v>
      </c>
      <c r="B75" s="9" t="s">
        <v>410</v>
      </c>
      <c r="C75" s="9" t="s">
        <v>411</v>
      </c>
      <c r="D75" s="9"/>
      <c r="E75" s="9"/>
      <c r="F75" s="9"/>
      <c r="G75" s="9"/>
      <c r="H75" s="31"/>
      <c r="I75" s="9"/>
    </row>
    <row r="76" spans="1:9" ht="28.5" x14ac:dyDescent="0.45">
      <c r="A76" s="9" t="s">
        <v>412</v>
      </c>
      <c r="B76" s="9" t="s">
        <v>413</v>
      </c>
      <c r="C76" s="9" t="s">
        <v>414</v>
      </c>
      <c r="D76" s="9"/>
      <c r="E76" s="9"/>
      <c r="F76" s="9"/>
      <c r="G76" s="9"/>
      <c r="H76" s="31"/>
      <c r="I76" s="9"/>
    </row>
    <row r="77" spans="1:9" x14ac:dyDescent="0.45">
      <c r="A77" s="9" t="s">
        <v>415</v>
      </c>
      <c r="B77" s="9" t="s">
        <v>416</v>
      </c>
      <c r="C77" s="9" t="s">
        <v>417</v>
      </c>
      <c r="D77" s="9"/>
      <c r="E77" s="9"/>
      <c r="F77" s="9"/>
      <c r="G77" s="9"/>
      <c r="H77" s="31"/>
      <c r="I77" s="9"/>
    </row>
    <row r="78" spans="1:9" ht="28.5" x14ac:dyDescent="0.45">
      <c r="A78" s="9" t="s">
        <v>418</v>
      </c>
      <c r="B78" s="9" t="s">
        <v>419</v>
      </c>
      <c r="C78" s="9" t="s">
        <v>420</v>
      </c>
      <c r="D78" s="9"/>
      <c r="E78" s="9"/>
      <c r="F78" s="9"/>
      <c r="G78" s="9"/>
      <c r="H78" s="31"/>
      <c r="I78" s="9"/>
    </row>
    <row r="79" spans="1:9" ht="28.5" x14ac:dyDescent="0.45">
      <c r="A79" s="9" t="s">
        <v>421</v>
      </c>
      <c r="B79" s="9" t="s">
        <v>422</v>
      </c>
      <c r="C79" s="9" t="s">
        <v>423</v>
      </c>
      <c r="D79" s="9"/>
      <c r="E79" s="9"/>
      <c r="F79" s="9"/>
      <c r="G79" s="9"/>
      <c r="H79" s="31"/>
      <c r="I79" s="9"/>
    </row>
    <row r="80" spans="1:9" ht="28.5" x14ac:dyDescent="0.45">
      <c r="A80" s="9" t="s">
        <v>424</v>
      </c>
      <c r="B80" s="9" t="s">
        <v>425</v>
      </c>
      <c r="C80" s="9" t="s">
        <v>426</v>
      </c>
      <c r="D80" s="9"/>
      <c r="E80" s="9"/>
      <c r="F80" s="9"/>
      <c r="G80" s="9"/>
      <c r="H80" s="31"/>
      <c r="I80" s="9"/>
    </row>
    <row r="81" spans="1:9" ht="42.75" x14ac:dyDescent="0.45">
      <c r="A81" s="9" t="s">
        <v>427</v>
      </c>
      <c r="B81" s="9" t="s">
        <v>428</v>
      </c>
      <c r="C81" s="9" t="s">
        <v>429</v>
      </c>
      <c r="D81" s="9"/>
      <c r="E81" s="9"/>
      <c r="F81" s="9"/>
      <c r="G81" s="9"/>
      <c r="H81" s="31"/>
      <c r="I81" s="9"/>
    </row>
    <row r="82" spans="1:9" ht="28.5" x14ac:dyDescent="0.45">
      <c r="A82" s="9" t="s">
        <v>430</v>
      </c>
      <c r="B82" s="9" t="s">
        <v>431</v>
      </c>
      <c r="C82" s="9" t="s">
        <v>432</v>
      </c>
      <c r="D82" s="9"/>
      <c r="E82" s="9"/>
      <c r="F82" s="9"/>
      <c r="G82" s="9"/>
      <c r="H82" s="31"/>
      <c r="I82" s="9"/>
    </row>
    <row r="83" spans="1:9" ht="28.5" x14ac:dyDescent="0.45">
      <c r="A83" s="9" t="s">
        <v>433</v>
      </c>
      <c r="B83" s="9" t="s">
        <v>434</v>
      </c>
      <c r="C83" s="9" t="s">
        <v>435</v>
      </c>
      <c r="D83" s="9"/>
      <c r="E83" s="9"/>
      <c r="F83" s="9"/>
      <c r="G83" s="9"/>
      <c r="H83" s="31"/>
      <c r="I83" s="9"/>
    </row>
    <row r="84" spans="1:9" ht="28.5" x14ac:dyDescent="0.45">
      <c r="A84" s="9" t="s">
        <v>436</v>
      </c>
      <c r="B84" s="9" t="s">
        <v>437</v>
      </c>
      <c r="C84" s="9" t="s">
        <v>438</v>
      </c>
      <c r="D84" s="9"/>
      <c r="E84" s="9"/>
      <c r="F84" s="9"/>
      <c r="G84" s="9"/>
      <c r="H84" s="31"/>
      <c r="I84" s="9"/>
    </row>
    <row r="85" spans="1:9" ht="28.5" x14ac:dyDescent="0.45">
      <c r="A85" s="9" t="s">
        <v>439</v>
      </c>
      <c r="B85" s="9" t="s">
        <v>440</v>
      </c>
      <c r="C85" s="9" t="s">
        <v>441</v>
      </c>
      <c r="D85" s="9"/>
      <c r="E85" s="9"/>
      <c r="F85" s="9"/>
      <c r="G85" s="9"/>
      <c r="H85" s="31"/>
      <c r="I85" s="9"/>
    </row>
    <row r="86" spans="1:9" ht="28.5" x14ac:dyDescent="0.45">
      <c r="A86" s="9" t="s">
        <v>442</v>
      </c>
      <c r="B86" s="9" t="s">
        <v>443</v>
      </c>
      <c r="C86" s="9" t="s">
        <v>444</v>
      </c>
      <c r="D86" s="9"/>
      <c r="E86" s="9"/>
      <c r="F86" s="9"/>
      <c r="G86" s="9"/>
      <c r="H86" s="31"/>
      <c r="I86" s="9"/>
    </row>
    <row r="87" spans="1:9" ht="28.5" x14ac:dyDescent="0.45">
      <c r="A87" s="9" t="s">
        <v>445</v>
      </c>
      <c r="B87" s="9" t="s">
        <v>446</v>
      </c>
      <c r="C87" s="9" t="s">
        <v>447</v>
      </c>
      <c r="D87" s="9"/>
      <c r="E87" s="9"/>
      <c r="F87" s="9"/>
      <c r="G87" s="9"/>
      <c r="H87" s="31"/>
      <c r="I87" s="9"/>
    </row>
    <row r="88" spans="1:9" x14ac:dyDescent="0.45">
      <c r="A88" s="9" t="s">
        <v>448</v>
      </c>
      <c r="B88" s="9" t="s">
        <v>449</v>
      </c>
      <c r="C88" s="9" t="s">
        <v>450</v>
      </c>
      <c r="D88" s="9"/>
      <c r="E88" s="9"/>
      <c r="F88" s="9"/>
      <c r="G88" s="9"/>
      <c r="H88" s="31"/>
      <c r="I88" s="9"/>
    </row>
    <row r="89" spans="1:9" x14ac:dyDescent="0.45">
      <c r="A89" s="9" t="s">
        <v>451</v>
      </c>
      <c r="B89" s="9" t="s">
        <v>452</v>
      </c>
      <c r="C89" s="9" t="s">
        <v>453</v>
      </c>
      <c r="D89" s="9"/>
      <c r="E89" s="9"/>
      <c r="F89" s="9"/>
      <c r="G89" s="9"/>
      <c r="H89" s="31"/>
      <c r="I89" s="9"/>
    </row>
    <row r="90" spans="1:9" ht="28.5" x14ac:dyDescent="0.45">
      <c r="A90" s="9" t="s">
        <v>454</v>
      </c>
      <c r="B90" s="9" t="s">
        <v>455</v>
      </c>
      <c r="C90" s="9" t="s">
        <v>456</v>
      </c>
      <c r="D90" s="9"/>
      <c r="E90" s="9"/>
      <c r="F90" s="9"/>
      <c r="G90" s="9"/>
      <c r="H90" s="31"/>
      <c r="I90" s="9"/>
    </row>
    <row r="91" spans="1:9" x14ac:dyDescent="0.45">
      <c r="A91" s="9" t="s">
        <v>457</v>
      </c>
      <c r="B91" s="9" t="s">
        <v>458</v>
      </c>
      <c r="C91" s="9" t="s">
        <v>459</v>
      </c>
      <c r="D91" s="9"/>
      <c r="E91" s="9"/>
      <c r="F91" s="9"/>
      <c r="G91" s="9"/>
      <c r="H91" s="31"/>
      <c r="I91" s="9"/>
    </row>
    <row r="92" spans="1:9" ht="28.5" x14ac:dyDescent="0.45">
      <c r="A92" s="9" t="s">
        <v>460</v>
      </c>
      <c r="B92" s="9" t="s">
        <v>461</v>
      </c>
      <c r="C92" s="9" t="s">
        <v>462</v>
      </c>
      <c r="D92" s="9"/>
      <c r="E92" s="9"/>
      <c r="F92" s="9"/>
      <c r="G92" s="9"/>
      <c r="H92" s="31"/>
      <c r="I92" s="9"/>
    </row>
    <row r="93" spans="1:9" ht="42.75" x14ac:dyDescent="0.45">
      <c r="A93" s="9" t="s">
        <v>463</v>
      </c>
      <c r="B93" s="9" t="s">
        <v>464</v>
      </c>
      <c r="C93" s="9" t="s">
        <v>465</v>
      </c>
      <c r="D93" s="9"/>
      <c r="E93" s="9"/>
      <c r="F93" s="9"/>
      <c r="G93" s="9"/>
      <c r="H93" s="31"/>
      <c r="I93" s="9"/>
    </row>
    <row r="94" spans="1:9" ht="42.75" x14ac:dyDescent="0.45">
      <c r="A94" s="9" t="s">
        <v>466</v>
      </c>
      <c r="B94" s="9" t="s">
        <v>467</v>
      </c>
      <c r="C94" s="9" t="s">
        <v>468</v>
      </c>
      <c r="D94" s="9"/>
      <c r="E94" s="9"/>
      <c r="F94" s="9"/>
      <c r="G94" s="9"/>
      <c r="H94" s="31"/>
      <c r="I94" s="9"/>
    </row>
    <row r="95" spans="1:9" x14ac:dyDescent="0.45">
      <c r="A95" s="9" t="s">
        <v>469</v>
      </c>
      <c r="B95" s="9" t="s">
        <v>470</v>
      </c>
      <c r="C95" s="9" t="s">
        <v>471</v>
      </c>
      <c r="D95" s="9"/>
      <c r="E95" s="9"/>
      <c r="F95" s="9"/>
      <c r="G95" s="9"/>
      <c r="H95" s="31"/>
      <c r="I95" s="9"/>
    </row>
    <row r="96" spans="1:9" ht="42.75" x14ac:dyDescent="0.45">
      <c r="A96" s="9" t="s">
        <v>472</v>
      </c>
      <c r="B96" s="9" t="s">
        <v>473</v>
      </c>
      <c r="C96" s="9" t="s">
        <v>474</v>
      </c>
      <c r="D96" s="9"/>
      <c r="E96" s="9"/>
      <c r="F96" s="9"/>
      <c r="G96" s="9"/>
      <c r="H96" s="31"/>
      <c r="I96" s="9"/>
    </row>
    <row r="97" spans="1:9" ht="42.75" x14ac:dyDescent="0.45">
      <c r="A97" s="9" t="s">
        <v>475</v>
      </c>
      <c r="B97" s="9" t="s">
        <v>476</v>
      </c>
      <c r="C97" s="9" t="s">
        <v>477</v>
      </c>
      <c r="D97" s="9"/>
      <c r="E97" s="9"/>
      <c r="F97" s="9"/>
      <c r="G97" s="9"/>
      <c r="H97" s="31"/>
      <c r="I97" s="9"/>
    </row>
    <row r="98" spans="1:9" ht="28.5" x14ac:dyDescent="0.45">
      <c r="A98" s="9" t="s">
        <v>478</v>
      </c>
      <c r="B98" s="9" t="s">
        <v>479</v>
      </c>
      <c r="C98" s="9" t="s">
        <v>480</v>
      </c>
      <c r="D98" s="9"/>
      <c r="E98" s="9"/>
      <c r="F98" s="9"/>
      <c r="G98" s="9"/>
      <c r="H98" s="31"/>
      <c r="I98" s="9"/>
    </row>
    <row r="99" spans="1:9" ht="42.75" x14ac:dyDescent="0.45">
      <c r="A99" s="9" t="s">
        <v>481</v>
      </c>
      <c r="B99" s="9" t="s">
        <v>482</v>
      </c>
      <c r="C99" s="9" t="s">
        <v>483</v>
      </c>
      <c r="D99" s="9"/>
      <c r="E99" s="9"/>
      <c r="F99" s="9"/>
      <c r="G99" s="9"/>
      <c r="H99" s="31"/>
      <c r="I99" s="9"/>
    </row>
    <row r="100" spans="1:9" ht="28.5" x14ac:dyDescent="0.45">
      <c r="A100" s="9" t="s">
        <v>484</v>
      </c>
      <c r="B100" s="9" t="s">
        <v>485</v>
      </c>
      <c r="C100" s="9" t="s">
        <v>486</v>
      </c>
      <c r="D100" s="9"/>
      <c r="E100" s="9"/>
      <c r="F100" s="9"/>
      <c r="G100" s="9"/>
      <c r="H100" s="31"/>
      <c r="I100" s="9"/>
    </row>
    <row r="101" spans="1:9" ht="28.5" x14ac:dyDescent="0.45">
      <c r="A101" s="9" t="s">
        <v>487</v>
      </c>
      <c r="B101" s="9" t="s">
        <v>488</v>
      </c>
      <c r="C101" s="9" t="s">
        <v>489</v>
      </c>
      <c r="D101" s="9"/>
      <c r="E101" s="9"/>
      <c r="F101" s="9"/>
      <c r="G101" s="9"/>
      <c r="H101" s="31"/>
      <c r="I101" s="9"/>
    </row>
    <row r="102" spans="1:9" ht="28.5" x14ac:dyDescent="0.45">
      <c r="A102" s="9" t="s">
        <v>490</v>
      </c>
      <c r="B102" s="9" t="s">
        <v>491</v>
      </c>
      <c r="C102" s="9" t="s">
        <v>492</v>
      </c>
      <c r="D102" s="9"/>
      <c r="E102" s="9"/>
      <c r="F102" s="9"/>
      <c r="G102" s="9"/>
      <c r="H102" s="31"/>
      <c r="I102" s="9"/>
    </row>
    <row r="103" spans="1:9" ht="42.75" x14ac:dyDescent="0.45">
      <c r="A103" s="9" t="s">
        <v>493</v>
      </c>
      <c r="B103" s="9" t="s">
        <v>494</v>
      </c>
      <c r="C103" s="9" t="s">
        <v>495</v>
      </c>
      <c r="D103" s="9"/>
      <c r="E103" s="9"/>
      <c r="F103" s="9"/>
      <c r="G103" s="9"/>
      <c r="H103" s="31"/>
      <c r="I103" s="9"/>
    </row>
    <row r="104" spans="1:9" ht="28.5" x14ac:dyDescent="0.45">
      <c r="A104" s="9" t="s">
        <v>496</v>
      </c>
      <c r="B104" s="9" t="s">
        <v>497</v>
      </c>
      <c r="C104" s="9" t="s">
        <v>498</v>
      </c>
      <c r="D104" s="9"/>
      <c r="E104" s="9"/>
      <c r="F104" s="9"/>
      <c r="G104" s="9"/>
      <c r="H104" s="31"/>
      <c r="I104" s="9"/>
    </row>
    <row r="105" spans="1:9" ht="42.75" x14ac:dyDescent="0.45">
      <c r="A105" s="9" t="s">
        <v>499</v>
      </c>
      <c r="B105" s="9" t="s">
        <v>500</v>
      </c>
      <c r="C105" s="9" t="s">
        <v>501</v>
      </c>
      <c r="D105" s="9"/>
      <c r="E105" s="9"/>
      <c r="F105" s="9"/>
      <c r="G105" s="9"/>
      <c r="H105" s="31"/>
      <c r="I105" s="9"/>
    </row>
    <row r="106" spans="1:9" ht="42.75" x14ac:dyDescent="0.45">
      <c r="A106" s="9" t="s">
        <v>502</v>
      </c>
      <c r="B106" s="9" t="s">
        <v>503</v>
      </c>
      <c r="C106" s="9" t="s">
        <v>504</v>
      </c>
      <c r="D106" s="9"/>
      <c r="E106" s="9"/>
      <c r="F106" s="9"/>
      <c r="G106" s="9"/>
      <c r="H106" s="31"/>
      <c r="I106" s="9"/>
    </row>
    <row r="107" spans="1:9" ht="28.5" x14ac:dyDescent="0.45">
      <c r="A107" s="9" t="s">
        <v>505</v>
      </c>
      <c r="B107" s="9" t="s">
        <v>506</v>
      </c>
      <c r="C107" s="9" t="s">
        <v>507</v>
      </c>
      <c r="D107" s="9"/>
      <c r="E107" s="9"/>
      <c r="F107" s="9"/>
      <c r="G107" s="9"/>
      <c r="H107" s="31"/>
      <c r="I107" s="9"/>
    </row>
    <row r="108" spans="1:9" ht="42.75" x14ac:dyDescent="0.45">
      <c r="A108" s="9" t="s">
        <v>508</v>
      </c>
      <c r="B108" s="9" t="s">
        <v>509</v>
      </c>
      <c r="C108" s="9" t="s">
        <v>510</v>
      </c>
      <c r="D108" s="9"/>
      <c r="E108" s="9"/>
      <c r="F108" s="9"/>
      <c r="G108" s="9"/>
      <c r="H108" s="31"/>
      <c r="I108" s="9"/>
    </row>
    <row r="109" spans="1:9" ht="42.75" x14ac:dyDescent="0.45">
      <c r="A109" s="9" t="s">
        <v>511</v>
      </c>
      <c r="B109" s="9" t="s">
        <v>512</v>
      </c>
      <c r="C109" s="9" t="s">
        <v>513</v>
      </c>
      <c r="D109" s="9"/>
      <c r="E109" s="9"/>
      <c r="F109" s="9"/>
      <c r="G109" s="9"/>
      <c r="H109" s="31"/>
      <c r="I109" s="9"/>
    </row>
    <row r="110" spans="1:9" ht="42.75" x14ac:dyDescent="0.45">
      <c r="A110" s="9" t="s">
        <v>514</v>
      </c>
      <c r="B110" s="9" t="s">
        <v>515</v>
      </c>
      <c r="C110" s="9" t="s">
        <v>516</v>
      </c>
      <c r="D110" s="9"/>
      <c r="E110" s="9"/>
      <c r="F110" s="9"/>
      <c r="G110" s="9"/>
      <c r="H110" s="31"/>
      <c r="I110" s="9"/>
    </row>
    <row r="111" spans="1:9" ht="28.5" x14ac:dyDescent="0.45">
      <c r="A111" s="9" t="s">
        <v>517</v>
      </c>
      <c r="B111" s="9" t="s">
        <v>518</v>
      </c>
      <c r="C111" s="9" t="s">
        <v>519</v>
      </c>
      <c r="D111" s="9"/>
      <c r="E111" s="9"/>
      <c r="F111" s="9"/>
      <c r="G111" s="9"/>
      <c r="H111" s="31"/>
      <c r="I111" s="9"/>
    </row>
    <row r="112" spans="1:9" ht="28.5" x14ac:dyDescent="0.45">
      <c r="A112" s="9" t="s">
        <v>520</v>
      </c>
      <c r="B112" s="9" t="s">
        <v>521</v>
      </c>
      <c r="C112" s="9" t="s">
        <v>522</v>
      </c>
      <c r="D112" s="9"/>
      <c r="E112" s="9"/>
      <c r="F112" s="9"/>
      <c r="G112" s="9"/>
      <c r="H112" s="31"/>
      <c r="I112" s="9"/>
    </row>
    <row r="113" spans="1:9" ht="42.75" x14ac:dyDescent="0.45">
      <c r="A113" s="9" t="s">
        <v>523</v>
      </c>
      <c r="B113" s="9" t="s">
        <v>524</v>
      </c>
      <c r="C113" s="9" t="s">
        <v>525</v>
      </c>
      <c r="D113" s="9"/>
      <c r="E113" s="9"/>
      <c r="F113" s="9"/>
      <c r="G113" s="9"/>
      <c r="H113" s="31"/>
      <c r="I113" s="9"/>
    </row>
    <row r="114" spans="1:9" ht="42.75" x14ac:dyDescent="0.45">
      <c r="A114" s="9" t="s">
        <v>526</v>
      </c>
      <c r="B114" s="9" t="s">
        <v>527</v>
      </c>
      <c r="C114" s="9" t="s">
        <v>528</v>
      </c>
      <c r="D114" s="9"/>
      <c r="E114" s="9"/>
      <c r="F114" s="9"/>
      <c r="G114" s="9"/>
      <c r="H114" s="31"/>
      <c r="I114" s="9"/>
    </row>
    <row r="115" spans="1:9" ht="28.5" x14ac:dyDescent="0.45">
      <c r="A115" s="9" t="s">
        <v>529</v>
      </c>
      <c r="B115" s="9" t="s">
        <v>530</v>
      </c>
      <c r="C115" s="9" t="s">
        <v>531</v>
      </c>
      <c r="D115" s="9"/>
      <c r="E115" s="9"/>
      <c r="F115" s="9"/>
      <c r="G115" s="9"/>
      <c r="H115" s="31"/>
      <c r="I115" s="9"/>
    </row>
    <row r="116" spans="1:9" ht="57" x14ac:dyDescent="0.45">
      <c r="A116" s="9" t="s">
        <v>532</v>
      </c>
      <c r="B116" s="9" t="s">
        <v>533</v>
      </c>
      <c r="C116" s="9" t="s">
        <v>534</v>
      </c>
      <c r="D116" s="9"/>
      <c r="E116" s="9"/>
      <c r="F116" s="9"/>
      <c r="G116" s="9"/>
      <c r="H116" s="31"/>
      <c r="I116" s="9"/>
    </row>
    <row r="117" spans="1:9" ht="42.75" x14ac:dyDescent="0.45">
      <c r="A117" s="9" t="s">
        <v>535</v>
      </c>
      <c r="B117" s="9" t="s">
        <v>536</v>
      </c>
      <c r="C117" s="9" t="s">
        <v>537</v>
      </c>
      <c r="D117" s="9"/>
      <c r="E117" s="9"/>
      <c r="F117" s="9"/>
      <c r="G117" s="9"/>
      <c r="H117" s="31"/>
      <c r="I117" s="9"/>
    </row>
    <row r="118" spans="1:9" ht="99.75" x14ac:dyDescent="0.45">
      <c r="A118" s="9" t="s">
        <v>538</v>
      </c>
      <c r="B118" s="9" t="s">
        <v>539</v>
      </c>
      <c r="C118" s="9" t="s">
        <v>540</v>
      </c>
      <c r="D118" s="9"/>
      <c r="E118" s="9"/>
      <c r="F118" s="9"/>
      <c r="G118" s="9"/>
      <c r="H118" s="31"/>
      <c r="I118" s="9"/>
    </row>
    <row r="119" spans="1:9" ht="28.5" x14ac:dyDescent="0.45">
      <c r="A119" s="9" t="s">
        <v>541</v>
      </c>
      <c r="B119" s="9" t="s">
        <v>542</v>
      </c>
      <c r="C119" s="9" t="s">
        <v>543</v>
      </c>
      <c r="D119" s="9"/>
      <c r="E119" s="9"/>
      <c r="F119" s="9"/>
      <c r="G119" s="9"/>
      <c r="H119" s="31"/>
      <c r="I119" s="9"/>
    </row>
    <row r="120" spans="1:9" ht="228" x14ac:dyDescent="0.45">
      <c r="A120" s="9" t="s">
        <v>544</v>
      </c>
      <c r="B120" s="9" t="s">
        <v>545</v>
      </c>
      <c r="C120" s="9" t="s">
        <v>546</v>
      </c>
      <c r="D120" s="9"/>
      <c r="E120" s="9"/>
      <c r="F120" s="9"/>
      <c r="G120" s="9"/>
      <c r="H120" s="31"/>
      <c r="I120" s="9"/>
    </row>
    <row r="121" spans="1:9" ht="171" x14ac:dyDescent="0.45">
      <c r="A121" s="9" t="s">
        <v>547</v>
      </c>
      <c r="B121" s="9" t="s">
        <v>548</v>
      </c>
      <c r="C121" s="9" t="s">
        <v>549</v>
      </c>
      <c r="D121" s="9"/>
      <c r="E121" s="9"/>
      <c r="F121" s="9"/>
      <c r="G121" s="9"/>
      <c r="H121" s="31"/>
      <c r="I121" s="9"/>
    </row>
    <row r="122" spans="1:9" ht="156.75" x14ac:dyDescent="0.45">
      <c r="A122" s="9" t="s">
        <v>550</v>
      </c>
      <c r="B122" s="9" t="s">
        <v>551</v>
      </c>
      <c r="C122" s="9" t="s">
        <v>552</v>
      </c>
      <c r="D122" s="9"/>
      <c r="E122" s="9"/>
      <c r="F122" s="9"/>
      <c r="G122" s="9"/>
      <c r="H122" s="31"/>
      <c r="I122" s="9"/>
    </row>
    <row r="123" spans="1:9" ht="185.25" x14ac:dyDescent="0.45">
      <c r="A123" s="9" t="s">
        <v>553</v>
      </c>
      <c r="B123" s="9" t="s">
        <v>554</v>
      </c>
      <c r="C123" s="9" t="s">
        <v>555</v>
      </c>
      <c r="D123" s="9"/>
      <c r="E123" s="9"/>
      <c r="F123" s="9"/>
      <c r="G123" s="9"/>
      <c r="H123" s="31"/>
      <c r="I123" s="9"/>
    </row>
    <row r="124" spans="1:9" ht="313.5" x14ac:dyDescent="0.45">
      <c r="A124" s="9" t="s">
        <v>556</v>
      </c>
      <c r="B124" s="9" t="s">
        <v>557</v>
      </c>
      <c r="C124" s="9" t="s">
        <v>558</v>
      </c>
      <c r="D124" s="9"/>
      <c r="E124" s="9"/>
      <c r="F124" s="9"/>
      <c r="G124" s="9"/>
      <c r="H124" s="31"/>
      <c r="I124" s="9"/>
    </row>
    <row r="125" spans="1:9" ht="327.75" x14ac:dyDescent="0.45">
      <c r="A125" s="9" t="s">
        <v>559</v>
      </c>
      <c r="B125" s="9" t="s">
        <v>560</v>
      </c>
      <c r="C125" s="9" t="s">
        <v>561</v>
      </c>
      <c r="D125" s="9"/>
      <c r="E125" s="9"/>
      <c r="F125" s="9"/>
      <c r="G125" s="9"/>
      <c r="H125" s="31"/>
      <c r="I125" s="9"/>
    </row>
    <row r="126" spans="1:9" ht="256.5" x14ac:dyDescent="0.45">
      <c r="A126" s="9" t="s">
        <v>562</v>
      </c>
      <c r="B126" s="9" t="s">
        <v>563</v>
      </c>
      <c r="C126" s="9" t="s">
        <v>564</v>
      </c>
      <c r="D126" s="9"/>
      <c r="E126" s="9"/>
      <c r="F126" s="9"/>
      <c r="G126" s="9"/>
      <c r="H126" s="31"/>
      <c r="I126" s="9"/>
    </row>
    <row r="127" spans="1:9" ht="42.75" x14ac:dyDescent="0.45">
      <c r="A127" s="9" t="s">
        <v>565</v>
      </c>
      <c r="B127" s="9" t="s">
        <v>566</v>
      </c>
      <c r="C127" s="9" t="s">
        <v>567</v>
      </c>
      <c r="D127" s="9"/>
      <c r="E127" s="9"/>
      <c r="F127" s="9"/>
      <c r="G127" s="9"/>
      <c r="H127" s="31"/>
      <c r="I127" s="9"/>
    </row>
    <row r="128" spans="1:9" ht="156.75" x14ac:dyDescent="0.45">
      <c r="A128" s="9" t="s">
        <v>568</v>
      </c>
      <c r="B128" s="9" t="s">
        <v>569</v>
      </c>
      <c r="C128" s="9" t="s">
        <v>570</v>
      </c>
      <c r="D128" s="9"/>
      <c r="E128" s="9"/>
      <c r="F128" s="9"/>
      <c r="G128" s="9"/>
      <c r="H128" s="31"/>
      <c r="I128" s="9"/>
    </row>
    <row r="129" spans="1:9" ht="85.5" x14ac:dyDescent="0.45">
      <c r="A129" s="9" t="s">
        <v>571</v>
      </c>
      <c r="B129" s="9" t="s">
        <v>572</v>
      </c>
      <c r="C129" s="9" t="s">
        <v>573</v>
      </c>
      <c r="D129" s="9"/>
      <c r="E129" s="9"/>
      <c r="F129" s="9"/>
      <c r="G129" s="9"/>
      <c r="H129" s="31"/>
      <c r="I129" s="9"/>
    </row>
    <row r="130" spans="1:9" ht="99.75" x14ac:dyDescent="0.45">
      <c r="A130" s="9" t="s">
        <v>574</v>
      </c>
      <c r="B130" s="9" t="s">
        <v>575</v>
      </c>
      <c r="C130" s="9" t="s">
        <v>576</v>
      </c>
      <c r="D130" s="9"/>
      <c r="E130" s="9"/>
      <c r="F130" s="9"/>
      <c r="G130" s="9"/>
      <c r="H130" s="31"/>
      <c r="I130" s="9"/>
    </row>
    <row r="131" spans="1:9" ht="85.5" x14ac:dyDescent="0.45">
      <c r="A131" s="9">
        <v>7.5</v>
      </c>
      <c r="B131" s="9" t="s">
        <v>577</v>
      </c>
      <c r="C131" s="9" t="s">
        <v>578</v>
      </c>
      <c r="D131" s="9"/>
      <c r="E131" s="9"/>
      <c r="F131" s="9"/>
      <c r="G131" s="9"/>
      <c r="H131" s="31"/>
      <c r="I131" s="9"/>
    </row>
    <row r="132" spans="1:9" ht="142.5" x14ac:dyDescent="0.45">
      <c r="A132" s="9" t="s">
        <v>579</v>
      </c>
      <c r="B132" s="9" t="s">
        <v>580</v>
      </c>
      <c r="C132" s="9" t="s">
        <v>581</v>
      </c>
      <c r="D132" s="9"/>
      <c r="E132" s="9"/>
      <c r="F132" s="9"/>
      <c r="G132" s="9"/>
      <c r="H132" s="31"/>
      <c r="I132" s="9"/>
    </row>
    <row r="133" spans="1:9" ht="57" x14ac:dyDescent="0.45">
      <c r="A133" s="9" t="s">
        <v>582</v>
      </c>
      <c r="B133" s="9" t="s">
        <v>583</v>
      </c>
      <c r="C133" s="9" t="s">
        <v>584</v>
      </c>
      <c r="D133" s="9"/>
      <c r="E133" s="9"/>
      <c r="F133" s="9"/>
      <c r="G133" s="9"/>
      <c r="H133" s="31"/>
      <c r="I133" s="9"/>
    </row>
    <row r="134" spans="1:9" ht="156.75" x14ac:dyDescent="0.45">
      <c r="A134" s="9" t="s">
        <v>585</v>
      </c>
      <c r="B134" s="9" t="s">
        <v>586</v>
      </c>
      <c r="C134" s="9" t="s">
        <v>587</v>
      </c>
      <c r="D134" s="9"/>
      <c r="E134" s="9"/>
      <c r="F134" s="9"/>
      <c r="G134" s="9"/>
      <c r="H134" s="31"/>
      <c r="I134" s="9"/>
    </row>
    <row r="135" spans="1:9" ht="171" x14ac:dyDescent="0.45">
      <c r="A135" s="9" t="s">
        <v>588</v>
      </c>
      <c r="B135" s="9" t="s">
        <v>589</v>
      </c>
      <c r="C135" s="9" t="s">
        <v>590</v>
      </c>
      <c r="D135" s="9"/>
      <c r="E135" s="9"/>
      <c r="F135" s="9"/>
      <c r="G135" s="9"/>
      <c r="H135" s="31"/>
      <c r="I135" s="9"/>
    </row>
    <row r="136" spans="1:9" ht="71.25" x14ac:dyDescent="0.45">
      <c r="A136" s="9" t="s">
        <v>591</v>
      </c>
      <c r="B136" s="9" t="s">
        <v>592</v>
      </c>
      <c r="C136" s="9" t="s">
        <v>593</v>
      </c>
      <c r="D136" s="9"/>
      <c r="E136" s="9"/>
      <c r="F136" s="9"/>
      <c r="G136" s="9"/>
      <c r="H136" s="31"/>
      <c r="I136" s="9"/>
    </row>
    <row r="137" spans="1:9" ht="71.25" x14ac:dyDescent="0.45">
      <c r="A137" s="9" t="s">
        <v>594</v>
      </c>
      <c r="B137" s="9" t="s">
        <v>560</v>
      </c>
      <c r="C137" s="9" t="s">
        <v>595</v>
      </c>
      <c r="D137" s="9"/>
      <c r="E137" s="9"/>
      <c r="F137" s="9"/>
      <c r="G137" s="9"/>
      <c r="H137" s="31"/>
      <c r="I137" s="9"/>
    </row>
    <row r="138" spans="1:9" ht="242.25" x14ac:dyDescent="0.45">
      <c r="A138" s="9" t="s">
        <v>596</v>
      </c>
      <c r="B138" s="9" t="s">
        <v>597</v>
      </c>
      <c r="C138" s="9" t="s">
        <v>598</v>
      </c>
      <c r="D138" s="9"/>
      <c r="E138" s="9"/>
      <c r="F138" s="9"/>
      <c r="G138" s="9"/>
      <c r="H138" s="31"/>
      <c r="I138" s="9"/>
    </row>
    <row r="139" spans="1:9" ht="242.25" x14ac:dyDescent="0.45">
      <c r="A139" s="9" t="s">
        <v>599</v>
      </c>
      <c r="B139" s="9" t="s">
        <v>600</v>
      </c>
      <c r="C139" s="9" t="s">
        <v>601</v>
      </c>
      <c r="D139" s="9"/>
      <c r="E139" s="9"/>
      <c r="F139" s="9"/>
      <c r="G139" s="9"/>
      <c r="H139" s="31"/>
      <c r="I139" s="9"/>
    </row>
    <row r="140" spans="1:9" ht="313.5" x14ac:dyDescent="0.45">
      <c r="A140" s="9" t="s">
        <v>602</v>
      </c>
      <c r="B140" s="9" t="s">
        <v>603</v>
      </c>
      <c r="C140" s="9" t="s">
        <v>604</v>
      </c>
      <c r="D140" s="9"/>
      <c r="E140" s="9"/>
      <c r="F140" s="9"/>
      <c r="G140" s="9"/>
      <c r="H140" s="31"/>
      <c r="I140" s="9"/>
    </row>
    <row r="141" spans="1:9" ht="242.25" x14ac:dyDescent="0.45">
      <c r="A141" s="9" t="s">
        <v>605</v>
      </c>
      <c r="B141" s="9" t="s">
        <v>606</v>
      </c>
      <c r="C141" s="9" t="s">
        <v>607</v>
      </c>
      <c r="D141" s="9"/>
      <c r="E141" s="9"/>
      <c r="F141" s="9"/>
      <c r="G141" s="9"/>
      <c r="H141" s="31"/>
      <c r="I141" s="9"/>
    </row>
    <row r="142" spans="1:9" ht="28.5" x14ac:dyDescent="0.45">
      <c r="A142" s="9" t="s">
        <v>608</v>
      </c>
      <c r="B142" s="9" t="s">
        <v>609</v>
      </c>
      <c r="C142" s="9" t="s">
        <v>610</v>
      </c>
      <c r="D142" s="9"/>
      <c r="E142" s="9"/>
      <c r="F142" s="9"/>
      <c r="G142" s="9"/>
      <c r="H142" s="31"/>
      <c r="I142" s="9"/>
    </row>
    <row r="143" spans="1:9" x14ac:dyDescent="0.45">
      <c r="D143" s="9"/>
      <c r="E143" s="9"/>
      <c r="F143" s="9"/>
      <c r="G143" s="9"/>
      <c r="H143" s="9"/>
      <c r="I143" s="9"/>
    </row>
  </sheetData>
  <dataValidations count="3">
    <dataValidation type="list" allowBlank="1" showInputMessage="1" showErrorMessage="1" sqref="I2:I143" xr:uid="{00000000-0002-0000-0900-000000000000}">
      <formula1>luPolicyReferences</formula1>
    </dataValidation>
    <dataValidation type="list" allowBlank="1" showInputMessage="1" showErrorMessage="1" sqref="D2:D143" xr:uid="{00000000-0002-0000-0900-000001000000}">
      <formula1>"Yes,No"</formula1>
    </dataValidation>
    <dataValidation type="list" allowBlank="1" showInputMessage="1" showErrorMessage="1" sqref="E2:E143" xr:uid="{00000000-0002-0000-0900-000002000000}">
      <formula1>"Addresses a Risk, Contractual, Legislated, Other, Multiple"</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69D23-2D87-429F-B0FD-022AC5FD0F8A}">
  <dimension ref="A1:D20"/>
  <sheetViews>
    <sheetView workbookViewId="0">
      <selection activeCell="D15" sqref="D15"/>
    </sheetView>
  </sheetViews>
  <sheetFormatPr defaultRowHeight="14.25" x14ac:dyDescent="0.45"/>
  <cols>
    <col min="1" max="1" width="31.1328125" bestFit="1" customWidth="1"/>
    <col min="2" max="2" width="10.265625" bestFit="1" customWidth="1"/>
    <col min="3" max="3" width="11.1328125" bestFit="1" customWidth="1"/>
    <col min="4" max="4" width="9.265625" bestFit="1" customWidth="1"/>
    <col min="5" max="7" width="11.1328125" bestFit="1" customWidth="1"/>
    <col min="8" max="8" width="6.59765625" bestFit="1" customWidth="1"/>
  </cols>
  <sheetData>
    <row r="1" spans="1:4" x14ac:dyDescent="0.45">
      <c r="A1" s="16" t="s">
        <v>898</v>
      </c>
      <c r="B1" t="s">
        <v>1968</v>
      </c>
    </row>
    <row r="3" spans="1:4" ht="42.75" x14ac:dyDescent="0.45">
      <c r="A3" s="16" t="s">
        <v>0</v>
      </c>
      <c r="B3" s="37" t="s">
        <v>2</v>
      </c>
      <c r="C3" s="36" t="s">
        <v>7</v>
      </c>
      <c r="D3" s="36" t="s">
        <v>6</v>
      </c>
    </row>
    <row r="4" spans="1:4" x14ac:dyDescent="0.45">
      <c r="A4" s="17" t="s">
        <v>11</v>
      </c>
      <c r="B4" s="54">
        <v>9</v>
      </c>
      <c r="C4" s="18">
        <v>9</v>
      </c>
      <c r="D4" s="18">
        <v>4.5</v>
      </c>
    </row>
    <row r="5" spans="1:4" x14ac:dyDescent="0.45">
      <c r="A5" s="17" t="s">
        <v>12</v>
      </c>
      <c r="B5" s="54">
        <v>9</v>
      </c>
      <c r="C5" s="18">
        <v>12</v>
      </c>
      <c r="D5" s="18">
        <v>6.8571428571428568</v>
      </c>
    </row>
    <row r="6" spans="1:4" x14ac:dyDescent="0.45">
      <c r="A6" s="17" t="s">
        <v>13</v>
      </c>
      <c r="B6" s="54">
        <v>9</v>
      </c>
      <c r="C6" s="18">
        <v>8</v>
      </c>
      <c r="D6" s="18">
        <v>8</v>
      </c>
    </row>
    <row r="7" spans="1:4" x14ac:dyDescent="0.45">
      <c r="A7" s="17" t="s">
        <v>14</v>
      </c>
      <c r="B7" s="54">
        <v>9</v>
      </c>
      <c r="C7" s="18">
        <v>6</v>
      </c>
      <c r="D7" s="18">
        <v>4.2</v>
      </c>
    </row>
    <row r="8" spans="1:4" x14ac:dyDescent="0.45">
      <c r="A8" s="17" t="s">
        <v>16</v>
      </c>
      <c r="B8" s="54">
        <v>9</v>
      </c>
      <c r="C8" s="18">
        <v>16</v>
      </c>
      <c r="D8" s="18">
        <v>8.8888888888888893</v>
      </c>
    </row>
    <row r="9" spans="1:4" x14ac:dyDescent="0.45">
      <c r="A9" s="17" t="s">
        <v>17</v>
      </c>
      <c r="B9" s="54">
        <v>9</v>
      </c>
      <c r="C9" s="18">
        <v>4</v>
      </c>
      <c r="D9" s="18">
        <v>2.25</v>
      </c>
    </row>
    <row r="10" spans="1:4" x14ac:dyDescent="0.45">
      <c r="A10" s="17" t="s">
        <v>18</v>
      </c>
      <c r="B10" s="54">
        <v>9</v>
      </c>
      <c r="C10" s="18">
        <v>8</v>
      </c>
      <c r="D10" s="18">
        <v>5</v>
      </c>
    </row>
    <row r="11" spans="1:4" x14ac:dyDescent="0.45">
      <c r="A11" s="17" t="s">
        <v>19</v>
      </c>
      <c r="B11" s="54">
        <v>9</v>
      </c>
      <c r="C11" s="18">
        <v>6</v>
      </c>
      <c r="D11" s="18">
        <v>3.5555555555555554</v>
      </c>
    </row>
    <row r="12" spans="1:4" x14ac:dyDescent="0.45">
      <c r="A12" s="17" t="s">
        <v>21</v>
      </c>
      <c r="B12" s="54">
        <v>9</v>
      </c>
      <c r="C12" s="18">
        <v>12</v>
      </c>
      <c r="D12" s="18">
        <v>5.1764705882352944</v>
      </c>
    </row>
    <row r="13" spans="1:4" x14ac:dyDescent="0.45">
      <c r="A13" s="17" t="s">
        <v>22</v>
      </c>
      <c r="B13" s="54">
        <v>9</v>
      </c>
      <c r="C13" s="18">
        <v>12</v>
      </c>
      <c r="D13" s="18">
        <v>5.7241379310344831</v>
      </c>
    </row>
    <row r="14" spans="1:4" x14ac:dyDescent="0.45">
      <c r="A14" s="17" t="s">
        <v>653</v>
      </c>
      <c r="B14" s="54">
        <v>9</v>
      </c>
      <c r="C14" s="18">
        <v>12</v>
      </c>
      <c r="D14" s="18">
        <v>5</v>
      </c>
    </row>
    <row r="15" spans="1:4" x14ac:dyDescent="0.45">
      <c r="A15" s="17" t="s">
        <v>24</v>
      </c>
      <c r="B15" s="54">
        <v>9</v>
      </c>
      <c r="C15" s="18">
        <v>12</v>
      </c>
      <c r="D15" s="18">
        <v>7.333333333333333</v>
      </c>
    </row>
    <row r="16" spans="1:4" x14ac:dyDescent="0.45">
      <c r="A16" s="17" t="s">
        <v>654</v>
      </c>
      <c r="B16" s="54">
        <v>9</v>
      </c>
      <c r="C16" s="18">
        <v>8</v>
      </c>
      <c r="D16" s="18">
        <v>6.666666666666667</v>
      </c>
    </row>
    <row r="17" spans="1:4" x14ac:dyDescent="0.45">
      <c r="A17" s="17" t="s">
        <v>655</v>
      </c>
      <c r="B17" s="54">
        <v>9</v>
      </c>
      <c r="C17" s="18">
        <v>12</v>
      </c>
      <c r="D17" s="18">
        <v>12</v>
      </c>
    </row>
    <row r="18" spans="1:4" x14ac:dyDescent="0.45">
      <c r="A18" s="17" t="s">
        <v>25</v>
      </c>
      <c r="B18" s="54">
        <v>9</v>
      </c>
      <c r="C18" s="18">
        <v>6</v>
      </c>
      <c r="D18" s="18">
        <v>4</v>
      </c>
    </row>
    <row r="19" spans="1:4" x14ac:dyDescent="0.45">
      <c r="A19" s="17" t="s">
        <v>28</v>
      </c>
      <c r="B19" s="54">
        <v>9</v>
      </c>
      <c r="C19" s="18">
        <v>9</v>
      </c>
      <c r="D19" s="18">
        <v>5.6</v>
      </c>
    </row>
    <row r="20" spans="1:4" x14ac:dyDescent="0.45">
      <c r="A20" s="17" t="s">
        <v>29</v>
      </c>
      <c r="B20" s="54">
        <v>9</v>
      </c>
      <c r="C20" s="18">
        <v>16</v>
      </c>
      <c r="D20" s="18">
        <v>5.5620915032679736</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N49"/>
  <sheetViews>
    <sheetView topLeftCell="A23" zoomScale="106" zoomScaleNormal="115" workbookViewId="0">
      <selection activeCell="H44" sqref="H44"/>
    </sheetView>
  </sheetViews>
  <sheetFormatPr defaultRowHeight="14.25" x14ac:dyDescent="0.45"/>
  <cols>
    <col min="1" max="1" width="42.1328125" bestFit="1" customWidth="1"/>
    <col min="2" max="2" width="7.86328125" customWidth="1"/>
    <col min="3" max="3" width="9.86328125" customWidth="1"/>
    <col min="4" max="4" width="24" customWidth="1"/>
    <col min="6" max="6" width="32.86328125" customWidth="1"/>
    <col min="8" max="8" width="47.86328125" customWidth="1"/>
    <col min="10" max="10" width="27.86328125" bestFit="1" customWidth="1"/>
    <col min="12" max="12" width="18.86328125" bestFit="1" customWidth="1"/>
    <col min="14" max="14" width="9.86328125" customWidth="1"/>
  </cols>
  <sheetData>
    <row r="1" spans="1:14" x14ac:dyDescent="0.45">
      <c r="A1" s="211" t="s">
        <v>1275</v>
      </c>
      <c r="B1" t="s">
        <v>1527</v>
      </c>
    </row>
    <row r="3" spans="1:14" x14ac:dyDescent="0.45">
      <c r="A3" t="s">
        <v>613</v>
      </c>
      <c r="B3" t="s">
        <v>893</v>
      </c>
      <c r="D3" t="s">
        <v>39</v>
      </c>
      <c r="F3" t="s">
        <v>84</v>
      </c>
      <c r="H3" t="s">
        <v>118</v>
      </c>
      <c r="I3" t="s">
        <v>614</v>
      </c>
      <c r="J3" t="s">
        <v>155</v>
      </c>
      <c r="L3" t="s">
        <v>615</v>
      </c>
      <c r="N3" t="s">
        <v>1056</v>
      </c>
    </row>
    <row r="4" spans="1:14" x14ac:dyDescent="0.45">
      <c r="A4" t="s">
        <v>8</v>
      </c>
      <c r="B4">
        <v>11</v>
      </c>
      <c r="D4" t="s">
        <v>86</v>
      </c>
      <c r="F4" t="s">
        <v>96</v>
      </c>
      <c r="H4" t="s">
        <v>148</v>
      </c>
      <c r="I4">
        <v>1</v>
      </c>
      <c r="J4" t="str">
        <f>tblLikelihood[[#This Row],[Value]]&amp;" - "&amp;tblLikelihood[[#This Row],[Likelihood]]</f>
        <v>1 - Not Foreseeable</v>
      </c>
      <c r="L4" t="s">
        <v>617</v>
      </c>
      <c r="N4" s="40">
        <v>45383</v>
      </c>
    </row>
    <row r="5" spans="1:14" x14ac:dyDescent="0.45">
      <c r="A5" t="s">
        <v>9</v>
      </c>
      <c r="B5">
        <v>12</v>
      </c>
      <c r="D5" t="s">
        <v>87</v>
      </c>
      <c r="F5" t="s">
        <v>616</v>
      </c>
      <c r="H5" t="s">
        <v>149</v>
      </c>
      <c r="I5">
        <v>2</v>
      </c>
      <c r="J5" t="str">
        <f>tblLikelihood[[#This Row],[Value]]&amp;" - "&amp;tblLikelihood[[#This Row],[Likelihood]]</f>
        <v>2 - Foreseeable, not expected</v>
      </c>
      <c r="L5" t="s">
        <v>899</v>
      </c>
      <c r="N5" s="40">
        <v>45413</v>
      </c>
    </row>
    <row r="6" spans="1:14" x14ac:dyDescent="0.45">
      <c r="A6" t="s">
        <v>10</v>
      </c>
      <c r="B6">
        <v>13</v>
      </c>
      <c r="D6" t="s">
        <v>164</v>
      </c>
      <c r="F6" t="s">
        <v>91</v>
      </c>
      <c r="H6" t="s">
        <v>150</v>
      </c>
      <c r="I6">
        <v>3</v>
      </c>
      <c r="J6" t="str">
        <f>tblLikelihood[[#This Row],[Value]]&amp;" - "&amp;tblLikelihood[[#This Row],[Likelihood]]</f>
        <v>3 - Foreseeable, expected</v>
      </c>
      <c r="L6" t="s">
        <v>638</v>
      </c>
      <c r="N6" s="40">
        <v>45444</v>
      </c>
    </row>
    <row r="7" spans="1:14" x14ac:dyDescent="0.45">
      <c r="A7" t="s">
        <v>11</v>
      </c>
      <c r="B7">
        <v>14</v>
      </c>
      <c r="D7" t="s">
        <v>619</v>
      </c>
      <c r="F7" t="s">
        <v>620</v>
      </c>
      <c r="H7" t="s">
        <v>151</v>
      </c>
      <c r="I7">
        <v>4</v>
      </c>
      <c r="J7" t="str">
        <f>tblLikelihood[[#This Row],[Value]]&amp;" - "&amp;tblLikelihood[[#This Row],[Likelihood]]</f>
        <v>4 - Common</v>
      </c>
      <c r="L7" t="s">
        <v>621</v>
      </c>
      <c r="N7" s="40">
        <v>45474</v>
      </c>
    </row>
    <row r="8" spans="1:14" x14ac:dyDescent="0.45">
      <c r="A8" t="s">
        <v>12</v>
      </c>
      <c r="B8">
        <v>15</v>
      </c>
      <c r="H8" t="s">
        <v>152</v>
      </c>
      <c r="I8">
        <v>5</v>
      </c>
      <c r="J8" t="str">
        <f>tblLikelihood[[#This Row],[Value]]&amp;" - "&amp;tblLikelihood[[#This Row],[Likelihood]]</f>
        <v>5 - Continuous</v>
      </c>
      <c r="L8" t="s">
        <v>808</v>
      </c>
      <c r="N8" s="40">
        <v>45505</v>
      </c>
    </row>
    <row r="9" spans="1:14" ht="14.65" thickBot="1" x14ac:dyDescent="0.5">
      <c r="A9" t="s">
        <v>13</v>
      </c>
      <c r="B9">
        <v>16</v>
      </c>
      <c r="D9" s="148" t="s">
        <v>1276</v>
      </c>
      <c r="L9" t="s">
        <v>809</v>
      </c>
      <c r="N9" s="40">
        <v>45536</v>
      </c>
    </row>
    <row r="10" spans="1:14" ht="14.65" thickTop="1" x14ac:dyDescent="0.45">
      <c r="A10" t="s">
        <v>14</v>
      </c>
      <c r="B10">
        <v>17</v>
      </c>
      <c r="D10" s="149" t="s">
        <v>1277</v>
      </c>
      <c r="L10" t="s">
        <v>811</v>
      </c>
      <c r="N10" s="40">
        <v>45566</v>
      </c>
    </row>
    <row r="11" spans="1:14" ht="14.65" thickBot="1" x14ac:dyDescent="0.5">
      <c r="A11" t="s">
        <v>15</v>
      </c>
      <c r="B11">
        <v>21</v>
      </c>
      <c r="D11" s="150" t="s">
        <v>1278</v>
      </c>
      <c r="F11" s="148" t="s">
        <v>887</v>
      </c>
      <c r="H11" t="s">
        <v>623</v>
      </c>
      <c r="I11" t="s">
        <v>614</v>
      </c>
      <c r="J11" t="s">
        <v>624</v>
      </c>
      <c r="L11" t="s">
        <v>812</v>
      </c>
      <c r="N11" s="40">
        <v>45597</v>
      </c>
    </row>
    <row r="12" spans="1:14" ht="28.9" thickTop="1" x14ac:dyDescent="0.45">
      <c r="A12" t="s">
        <v>16</v>
      </c>
      <c r="B12">
        <v>22</v>
      </c>
      <c r="D12" s="149" t="s">
        <v>1279</v>
      </c>
      <c r="F12" s="149" t="s">
        <v>828</v>
      </c>
      <c r="H12" s="9" t="s">
        <v>798</v>
      </c>
      <c r="I12">
        <v>1</v>
      </c>
      <c r="J12" s="36" t="str">
        <f>tblMaturity[[#This Row],[Value]]&amp;" - "&amp;tblMaturity[[#This Row],[Maturity]]</f>
        <v>1 - Safeguard is not implemented or is inconsistently implemented.</v>
      </c>
      <c r="L12" t="s">
        <v>622</v>
      </c>
      <c r="N12" s="40">
        <v>45627</v>
      </c>
    </row>
    <row r="13" spans="1:14" ht="42.75" x14ac:dyDescent="0.45">
      <c r="A13" t="s">
        <v>17</v>
      </c>
      <c r="B13">
        <v>23</v>
      </c>
      <c r="D13" s="150" t="s">
        <v>1280</v>
      </c>
      <c r="F13" s="150" t="str">
        <f>B1</f>
        <v>BCU</v>
      </c>
      <c r="H13" s="9" t="s">
        <v>799</v>
      </c>
      <c r="I13">
        <v>2</v>
      </c>
      <c r="J13" s="36" t="str">
        <f>tblMaturity[[#This Row],[Value]]&amp;" - "&amp;tblMaturity[[#This Row],[Maturity]]</f>
        <v>2 - Safeguard is implemented fully on some assets or partially on all assets.</v>
      </c>
      <c r="L13" t="s">
        <v>618</v>
      </c>
      <c r="N13" s="40">
        <v>45658</v>
      </c>
    </row>
    <row r="14" spans="1:14" ht="28.5" x14ac:dyDescent="0.45">
      <c r="A14" t="s">
        <v>18</v>
      </c>
      <c r="B14">
        <v>24</v>
      </c>
      <c r="D14" s="149" t="s">
        <v>1281</v>
      </c>
      <c r="F14" s="149" t="str">
        <f>"HALOCK/"&amp;B1</f>
        <v>HALOCK/BCU</v>
      </c>
      <c r="H14" s="9" t="s">
        <v>800</v>
      </c>
      <c r="I14">
        <v>3</v>
      </c>
      <c r="J14" s="36" t="str">
        <f>tblMaturity[[#This Row],[Value]]&amp;" - "&amp;tblMaturity[[#This Row],[Maturity]]</f>
        <v>3 - Safeguard is implemented on all assets.</v>
      </c>
      <c r="L14" t="s">
        <v>637</v>
      </c>
      <c r="N14" s="40">
        <v>45689</v>
      </c>
    </row>
    <row r="15" spans="1:14" ht="28.5" x14ac:dyDescent="0.45">
      <c r="A15" t="s">
        <v>19</v>
      </c>
      <c r="B15">
        <v>25</v>
      </c>
      <c r="D15" s="150" t="s">
        <v>1282</v>
      </c>
      <c r="F15" s="75" t="s">
        <v>888</v>
      </c>
      <c r="H15" s="9" t="s">
        <v>801</v>
      </c>
      <c r="I15">
        <v>4</v>
      </c>
      <c r="J15" s="36" t="str">
        <f>tblMaturity[[#This Row],[Value]]&amp;" - "&amp;tblMaturity[[#This Row],[Maturity]]</f>
        <v>4 - Safeguard is tested and inconsistencies are corrected.</v>
      </c>
      <c r="L15" t="s">
        <v>1054</v>
      </c>
      <c r="N15" s="40">
        <v>45717</v>
      </c>
    </row>
    <row r="16" spans="1:14" ht="42.75" x14ac:dyDescent="0.45">
      <c r="A16" t="s">
        <v>20</v>
      </c>
      <c r="B16">
        <v>26</v>
      </c>
      <c r="D16" s="149" t="s">
        <v>1283</v>
      </c>
      <c r="H16" s="9" t="s">
        <v>802</v>
      </c>
      <c r="I16">
        <v>5</v>
      </c>
      <c r="J16" s="36" t="str">
        <f>tblMaturity[[#This Row],[Value]]&amp;" - "&amp;tblMaturity[[#This Row],[Maturity]]</f>
        <v>5 - Safeguard has mechanisms that ensure consistent implementation over time.</v>
      </c>
      <c r="N16" s="40">
        <v>45748</v>
      </c>
    </row>
    <row r="17" spans="1:14" x14ac:dyDescent="0.45">
      <c r="A17" t="s">
        <v>21</v>
      </c>
      <c r="B17">
        <v>27</v>
      </c>
      <c r="D17" s="150" t="s">
        <v>1284</v>
      </c>
      <c r="L17" s="213" t="s">
        <v>1352</v>
      </c>
      <c r="N17" s="40">
        <v>45778</v>
      </c>
    </row>
    <row r="18" spans="1:14" ht="14.65" thickBot="1" x14ac:dyDescent="0.5">
      <c r="A18" t="s">
        <v>22</v>
      </c>
      <c r="B18">
        <v>28</v>
      </c>
      <c r="D18" s="149" t="s">
        <v>1285</v>
      </c>
      <c r="F18" s="148" t="s">
        <v>850</v>
      </c>
      <c r="H18" t="s">
        <v>1315</v>
      </c>
      <c r="J18" s="212" t="s">
        <v>1328</v>
      </c>
      <c r="L18" s="214" t="s">
        <v>1353</v>
      </c>
      <c r="N18" s="40">
        <v>45809</v>
      </c>
    </row>
    <row r="19" spans="1:14" ht="14.65" thickTop="1" x14ac:dyDescent="0.45">
      <c r="A19" t="s">
        <v>23</v>
      </c>
      <c r="B19">
        <v>29</v>
      </c>
      <c r="D19" s="150" t="s">
        <v>1286</v>
      </c>
      <c r="F19" s="149" t="s">
        <v>889</v>
      </c>
      <c r="H19" t="s">
        <v>1316</v>
      </c>
      <c r="J19" s="212" t="s">
        <v>1329</v>
      </c>
      <c r="L19" s="214" t="s">
        <v>1354</v>
      </c>
      <c r="N19" s="40">
        <v>45839</v>
      </c>
    </row>
    <row r="20" spans="1:14" x14ac:dyDescent="0.45">
      <c r="A20" t="s">
        <v>653</v>
      </c>
      <c r="B20">
        <v>31</v>
      </c>
      <c r="F20" s="150" t="s">
        <v>890</v>
      </c>
      <c r="H20" s="33" t="s">
        <v>1317</v>
      </c>
      <c r="J20" s="212" t="s">
        <v>1330</v>
      </c>
      <c r="L20" s="214" t="s">
        <v>1276</v>
      </c>
      <c r="N20" s="40">
        <v>45870</v>
      </c>
    </row>
    <row r="21" spans="1:14" x14ac:dyDescent="0.45">
      <c r="A21" t="s">
        <v>654</v>
      </c>
      <c r="B21">
        <v>32</v>
      </c>
      <c r="D21" t="s">
        <v>1287</v>
      </c>
      <c r="F21" s="149" t="s">
        <v>891</v>
      </c>
      <c r="H21" s="33" t="s">
        <v>1318</v>
      </c>
      <c r="J21" s="212" t="s">
        <v>1331</v>
      </c>
      <c r="L21" s="214" t="s">
        <v>1355</v>
      </c>
    </row>
    <row r="22" spans="1:14" x14ac:dyDescent="0.45">
      <c r="A22" t="s">
        <v>24</v>
      </c>
      <c r="B22">
        <v>33</v>
      </c>
      <c r="D22" t="s">
        <v>1288</v>
      </c>
      <c r="F22" s="75" t="s">
        <v>892</v>
      </c>
      <c r="H22" s="33" t="s">
        <v>1319</v>
      </c>
      <c r="J22" s="212" t="s">
        <v>1332</v>
      </c>
      <c r="L22" s="214" t="s">
        <v>1356</v>
      </c>
      <c r="N22" s="212" t="s">
        <v>614</v>
      </c>
    </row>
    <row r="23" spans="1:14" x14ac:dyDescent="0.45">
      <c r="A23" t="s">
        <v>655</v>
      </c>
      <c r="B23">
        <v>34</v>
      </c>
      <c r="D23" t="s">
        <v>1289</v>
      </c>
      <c r="H23" s="33" t="s">
        <v>1053</v>
      </c>
      <c r="J23" s="212" t="s">
        <v>1333</v>
      </c>
      <c r="L23" s="214" t="s">
        <v>1286</v>
      </c>
      <c r="N23" s="212">
        <v>0</v>
      </c>
    </row>
    <row r="24" spans="1:14" x14ac:dyDescent="0.45">
      <c r="A24" t="s">
        <v>25</v>
      </c>
      <c r="B24">
        <v>41</v>
      </c>
      <c r="D24" t="s">
        <v>1290</v>
      </c>
      <c r="F24" s="213" t="s">
        <v>1071</v>
      </c>
      <c r="H24" t="s">
        <v>1320</v>
      </c>
      <c r="J24" s="212" t="s">
        <v>1334</v>
      </c>
      <c r="N24" s="212">
        <v>1</v>
      </c>
    </row>
    <row r="25" spans="1:14" x14ac:dyDescent="0.45">
      <c r="A25" t="s">
        <v>26</v>
      </c>
      <c r="B25">
        <v>42</v>
      </c>
      <c r="D25" t="s">
        <v>1291</v>
      </c>
      <c r="F25" s="214" t="s">
        <v>1546</v>
      </c>
      <c r="H25" s="33" t="s">
        <v>1321</v>
      </c>
      <c r="J25" s="212" t="s">
        <v>1335</v>
      </c>
      <c r="L25" t="s">
        <v>848</v>
      </c>
    </row>
    <row r="26" spans="1:14" x14ac:dyDescent="0.45">
      <c r="A26" t="s">
        <v>27</v>
      </c>
      <c r="B26">
        <v>51</v>
      </c>
      <c r="D26" t="s">
        <v>1292</v>
      </c>
      <c r="F26" s="214" t="s">
        <v>1547</v>
      </c>
      <c r="H26" s="33" t="s">
        <v>1322</v>
      </c>
      <c r="J26" s="212" t="s">
        <v>1336</v>
      </c>
      <c r="L26" t="s">
        <v>1357</v>
      </c>
      <c r="N26" t="s">
        <v>1373</v>
      </c>
    </row>
    <row r="27" spans="1:14" x14ac:dyDescent="0.45">
      <c r="A27" t="s">
        <v>28</v>
      </c>
      <c r="B27">
        <v>52</v>
      </c>
      <c r="D27" t="s">
        <v>1293</v>
      </c>
      <c r="F27" s="214" t="s">
        <v>1548</v>
      </c>
      <c r="H27" s="33" t="s">
        <v>1323</v>
      </c>
      <c r="J27" s="212" t="s">
        <v>1337</v>
      </c>
      <c r="L27" t="s">
        <v>1358</v>
      </c>
      <c r="N27" t="s">
        <v>1374</v>
      </c>
    </row>
    <row r="28" spans="1:14" x14ac:dyDescent="0.45">
      <c r="A28" t="s">
        <v>626</v>
      </c>
      <c r="B28">
        <v>111</v>
      </c>
      <c r="D28" t="s">
        <v>1294</v>
      </c>
      <c r="F28" s="214" t="s">
        <v>1549</v>
      </c>
      <c r="H28" s="33" t="s">
        <v>1324</v>
      </c>
      <c r="J28" s="212" t="s">
        <v>1338</v>
      </c>
      <c r="L28" t="s">
        <v>1359</v>
      </c>
      <c r="N28" t="s">
        <v>1375</v>
      </c>
    </row>
    <row r="29" spans="1:14" x14ac:dyDescent="0.45">
      <c r="A29" t="s">
        <v>627</v>
      </c>
      <c r="B29">
        <v>112</v>
      </c>
      <c r="D29" t="s">
        <v>1295</v>
      </c>
      <c r="F29" s="214" t="s">
        <v>1550</v>
      </c>
      <c r="H29" s="33" t="s">
        <v>1325</v>
      </c>
      <c r="J29" s="212" t="s">
        <v>1339</v>
      </c>
      <c r="L29" t="s">
        <v>1360</v>
      </c>
      <c r="N29" t="s">
        <v>1376</v>
      </c>
    </row>
    <row r="30" spans="1:14" x14ac:dyDescent="0.45">
      <c r="A30" t="s">
        <v>612</v>
      </c>
      <c r="B30">
        <v>113</v>
      </c>
      <c r="D30" t="s">
        <v>1296</v>
      </c>
      <c r="F30" s="214" t="s">
        <v>1551</v>
      </c>
      <c r="H30" s="33" t="s">
        <v>1326</v>
      </c>
      <c r="J30" s="212"/>
      <c r="L30" t="s">
        <v>1361</v>
      </c>
    </row>
    <row r="31" spans="1:14" x14ac:dyDescent="0.45">
      <c r="A31" t="s">
        <v>628</v>
      </c>
      <c r="B31">
        <v>114</v>
      </c>
      <c r="D31" t="s">
        <v>1297</v>
      </c>
      <c r="F31" s="214" t="s">
        <v>1552</v>
      </c>
      <c r="H31" s="33" t="s">
        <v>1327</v>
      </c>
      <c r="L31" t="s">
        <v>1362</v>
      </c>
      <c r="N31" t="s">
        <v>1377</v>
      </c>
    </row>
    <row r="32" spans="1:14" x14ac:dyDescent="0.45">
      <c r="A32" t="s">
        <v>810</v>
      </c>
      <c r="B32">
        <v>110</v>
      </c>
      <c r="D32" s="212" t="s">
        <v>1298</v>
      </c>
      <c r="F32" s="214" t="s">
        <v>1553</v>
      </c>
      <c r="L32" t="s">
        <v>1363</v>
      </c>
      <c r="N32" t="s">
        <v>1378</v>
      </c>
    </row>
    <row r="33" spans="4:14" x14ac:dyDescent="0.45">
      <c r="D33" s="212" t="s">
        <v>1299</v>
      </c>
      <c r="F33" s="214" t="s">
        <v>1554</v>
      </c>
      <c r="H33" s="213" t="s">
        <v>1340</v>
      </c>
      <c r="J33" s="213" t="s">
        <v>1317</v>
      </c>
      <c r="L33" t="s">
        <v>1087</v>
      </c>
      <c r="N33" t="s">
        <v>1379</v>
      </c>
    </row>
    <row r="34" spans="4:14" x14ac:dyDescent="0.45">
      <c r="F34" s="214" t="s">
        <v>1555</v>
      </c>
      <c r="H34" s="149" t="s">
        <v>1341</v>
      </c>
      <c r="J34" s="149" t="s">
        <v>1346</v>
      </c>
      <c r="N34" t="s">
        <v>1380</v>
      </c>
    </row>
    <row r="35" spans="4:14" x14ac:dyDescent="0.45">
      <c r="D35" t="s">
        <v>1300</v>
      </c>
      <c r="F35" s="214" t="s">
        <v>1556</v>
      </c>
      <c r="H35" s="150" t="s">
        <v>1342</v>
      </c>
      <c r="J35" s="150" t="s">
        <v>1347</v>
      </c>
      <c r="L35" t="s">
        <v>849</v>
      </c>
      <c r="N35" t="s">
        <v>1381</v>
      </c>
    </row>
    <row r="36" spans="4:14" x14ac:dyDescent="0.45">
      <c r="D36" s="33" t="s">
        <v>1301</v>
      </c>
      <c r="F36" s="214" t="s">
        <v>1053</v>
      </c>
      <c r="H36" s="149" t="s">
        <v>1343</v>
      </c>
      <c r="J36" s="149" t="s">
        <v>1348</v>
      </c>
      <c r="L36" t="s">
        <v>828</v>
      </c>
    </row>
    <row r="37" spans="4:14" x14ac:dyDescent="0.45">
      <c r="D37" s="33" t="s">
        <v>1302</v>
      </c>
      <c r="F37" s="214" t="s">
        <v>1557</v>
      </c>
      <c r="H37" s="150" t="s">
        <v>1344</v>
      </c>
      <c r="J37" s="150" t="s">
        <v>1349</v>
      </c>
      <c r="L37" t="str">
        <f>B1</f>
        <v>BCU</v>
      </c>
      <c r="N37" s="212" t="s">
        <v>1382</v>
      </c>
    </row>
    <row r="38" spans="4:14" x14ac:dyDescent="0.45">
      <c r="D38" s="33" t="s">
        <v>1303</v>
      </c>
      <c r="F38" s="214" t="s">
        <v>1558</v>
      </c>
      <c r="H38" s="149" t="s">
        <v>1345</v>
      </c>
      <c r="J38" s="149" t="s">
        <v>1350</v>
      </c>
      <c r="L38" t="s">
        <v>1364</v>
      </c>
      <c r="N38" s="212" t="s">
        <v>1081</v>
      </c>
    </row>
    <row r="39" spans="4:14" x14ac:dyDescent="0.45">
      <c r="D39" s="33" t="s">
        <v>1304</v>
      </c>
      <c r="F39" s="214" t="s">
        <v>1559</v>
      </c>
      <c r="H39" t="s">
        <v>1286</v>
      </c>
      <c r="J39" t="s">
        <v>1351</v>
      </c>
      <c r="L39" t="s">
        <v>1365</v>
      </c>
      <c r="N39" s="212" t="s">
        <v>1080</v>
      </c>
    </row>
    <row r="40" spans="4:14" x14ac:dyDescent="0.45">
      <c r="D40" s="33" t="s">
        <v>1305</v>
      </c>
      <c r="F40" s="214" t="s">
        <v>1560</v>
      </c>
      <c r="L40" t="s">
        <v>1366</v>
      </c>
      <c r="N40" t="s">
        <v>1383</v>
      </c>
    </row>
    <row r="41" spans="4:14" x14ac:dyDescent="0.45">
      <c r="D41" s="33" t="s">
        <v>1306</v>
      </c>
      <c r="F41" s="214" t="s">
        <v>1561</v>
      </c>
      <c r="H41" s="36"/>
      <c r="L41" t="s">
        <v>1367</v>
      </c>
      <c r="N41" t="s">
        <v>1087</v>
      </c>
    </row>
    <row r="42" spans="4:14" x14ac:dyDescent="0.45">
      <c r="D42" s="33" t="s">
        <v>1307</v>
      </c>
      <c r="F42" s="214" t="s">
        <v>1562</v>
      </c>
    </row>
    <row r="43" spans="4:14" x14ac:dyDescent="0.45">
      <c r="D43" s="33" t="s">
        <v>1308</v>
      </c>
      <c r="F43" s="214" t="s">
        <v>1563</v>
      </c>
      <c r="L43" t="s">
        <v>1368</v>
      </c>
    </row>
    <row r="44" spans="4:14" x14ac:dyDescent="0.45">
      <c r="D44" s="33" t="s">
        <v>1309</v>
      </c>
      <c r="L44" t="s">
        <v>828</v>
      </c>
    </row>
    <row r="45" spans="4:14" x14ac:dyDescent="0.45">
      <c r="D45" s="33" t="s">
        <v>1310</v>
      </c>
      <c r="L45" t="str">
        <f>B1</f>
        <v>BCU</v>
      </c>
    </row>
    <row r="46" spans="4:14" x14ac:dyDescent="0.45">
      <c r="D46" s="33" t="s">
        <v>1311</v>
      </c>
      <c r="L46" t="s">
        <v>1369</v>
      </c>
    </row>
    <row r="47" spans="4:14" x14ac:dyDescent="0.45">
      <c r="D47" s="33" t="s">
        <v>1312</v>
      </c>
      <c r="L47" t="s">
        <v>1370</v>
      </c>
    </row>
    <row r="48" spans="4:14" ht="28.5" x14ac:dyDescent="0.45">
      <c r="D48" s="33" t="s">
        <v>1313</v>
      </c>
      <c r="L48" t="s">
        <v>1371</v>
      </c>
    </row>
    <row r="49" spans="4:12" x14ac:dyDescent="0.45">
      <c r="D49" t="s">
        <v>1314</v>
      </c>
      <c r="L49" t="s">
        <v>1372</v>
      </c>
    </row>
  </sheetData>
  <pageMargins left="0.7" right="0.7" top="0.75" bottom="0.75" header="0.3" footer="0.3"/>
  <tableParts count="24">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64DB-7DBA-489D-ADC3-864FDD8AAAC1}">
  <sheetPr codeName="Sheet16"/>
  <dimension ref="B3:D44"/>
  <sheetViews>
    <sheetView topLeftCell="A3" workbookViewId="0">
      <selection activeCell="D4" sqref="D4"/>
    </sheetView>
  </sheetViews>
  <sheetFormatPr defaultRowHeight="14.25" x14ac:dyDescent="0.45"/>
  <cols>
    <col min="2" max="2" width="29.265625" customWidth="1"/>
    <col min="3" max="3" width="12" customWidth="1"/>
    <col min="4" max="4" width="67" customWidth="1"/>
    <col min="5" max="5" width="9.1328125" customWidth="1"/>
  </cols>
  <sheetData>
    <row r="3" spans="2:4" x14ac:dyDescent="0.45">
      <c r="B3" s="67" t="s">
        <v>705</v>
      </c>
      <c r="C3" s="68" t="s">
        <v>706</v>
      </c>
      <c r="D3" s="69" t="s">
        <v>707</v>
      </c>
    </row>
    <row r="4" spans="2:4" ht="91.9" x14ac:dyDescent="0.45">
      <c r="B4" s="64" t="s">
        <v>708</v>
      </c>
      <c r="C4" s="63" t="s">
        <v>709</v>
      </c>
      <c r="D4" s="65" t="s">
        <v>710</v>
      </c>
    </row>
    <row r="5" spans="2:4" ht="52.5" x14ac:dyDescent="0.45">
      <c r="B5" s="64" t="s">
        <v>711</v>
      </c>
      <c r="C5" s="63" t="s">
        <v>709</v>
      </c>
      <c r="D5" s="65" t="s">
        <v>712</v>
      </c>
    </row>
    <row r="6" spans="2:4" ht="78.75" x14ac:dyDescent="0.45">
      <c r="B6" s="64" t="s">
        <v>713</v>
      </c>
      <c r="C6" s="63" t="s">
        <v>709</v>
      </c>
      <c r="D6" s="65" t="s">
        <v>714</v>
      </c>
    </row>
    <row r="7" spans="2:4" ht="39.4" x14ac:dyDescent="0.45">
      <c r="B7" s="64" t="s">
        <v>715</v>
      </c>
      <c r="C7" s="63" t="s">
        <v>709</v>
      </c>
      <c r="D7" s="65" t="s">
        <v>716</v>
      </c>
    </row>
    <row r="8" spans="2:4" ht="52.5" x14ac:dyDescent="0.45">
      <c r="B8" s="64" t="s">
        <v>717</v>
      </c>
      <c r="C8" s="63" t="s">
        <v>709</v>
      </c>
      <c r="D8" s="65" t="s">
        <v>718</v>
      </c>
    </row>
    <row r="9" spans="2:4" ht="52.5" x14ac:dyDescent="0.45">
      <c r="B9" s="64" t="s">
        <v>719</v>
      </c>
      <c r="C9" s="63" t="s">
        <v>709</v>
      </c>
      <c r="D9" s="65" t="s">
        <v>720</v>
      </c>
    </row>
    <row r="10" spans="2:4" ht="78.75" x14ac:dyDescent="0.45">
      <c r="B10" s="64" t="s">
        <v>721</v>
      </c>
      <c r="C10" s="63" t="s">
        <v>709</v>
      </c>
      <c r="D10" s="65" t="s">
        <v>722</v>
      </c>
    </row>
    <row r="11" spans="2:4" ht="78.75" x14ac:dyDescent="0.45">
      <c r="B11" s="64" t="s">
        <v>723</v>
      </c>
      <c r="C11" s="63" t="s">
        <v>709</v>
      </c>
      <c r="D11" s="65" t="s">
        <v>724</v>
      </c>
    </row>
    <row r="12" spans="2:4" ht="131.25" x14ac:dyDescent="0.45">
      <c r="B12" s="64" t="s">
        <v>725</v>
      </c>
      <c r="C12" s="63" t="s">
        <v>709</v>
      </c>
      <c r="D12" s="65" t="s">
        <v>726</v>
      </c>
    </row>
    <row r="13" spans="2:4" ht="65.650000000000006" x14ac:dyDescent="0.45">
      <c r="B13" s="64" t="s">
        <v>727</v>
      </c>
      <c r="C13" s="63" t="s">
        <v>709</v>
      </c>
      <c r="D13" s="65" t="s">
        <v>728</v>
      </c>
    </row>
    <row r="14" spans="2:4" ht="52.5" x14ac:dyDescent="0.45">
      <c r="B14" s="64" t="s">
        <v>729</v>
      </c>
      <c r="C14" s="63" t="s">
        <v>709</v>
      </c>
      <c r="D14" s="65" t="s">
        <v>730</v>
      </c>
    </row>
    <row r="15" spans="2:4" ht="52.5" x14ac:dyDescent="0.45">
      <c r="B15" s="64" t="s">
        <v>731</v>
      </c>
      <c r="C15" s="63" t="s">
        <v>709</v>
      </c>
      <c r="D15" s="65" t="s">
        <v>732</v>
      </c>
    </row>
    <row r="16" spans="2:4" ht="52.5" x14ac:dyDescent="0.45">
      <c r="B16" s="64" t="s">
        <v>733</v>
      </c>
      <c r="C16" s="63" t="s">
        <v>709</v>
      </c>
      <c r="D16" s="65" t="s">
        <v>734</v>
      </c>
    </row>
    <row r="17" spans="2:4" ht="26.25" x14ac:dyDescent="0.45">
      <c r="B17" s="64" t="s">
        <v>735</v>
      </c>
      <c r="C17" s="63" t="s">
        <v>709</v>
      </c>
      <c r="D17" s="65" t="s">
        <v>736</v>
      </c>
    </row>
    <row r="18" spans="2:4" ht="65.650000000000006" x14ac:dyDescent="0.45">
      <c r="B18" s="64" t="s">
        <v>737</v>
      </c>
      <c r="C18" s="63" t="s">
        <v>709</v>
      </c>
      <c r="D18" s="65" t="s">
        <v>738</v>
      </c>
    </row>
    <row r="19" spans="2:4" ht="91.9" x14ac:dyDescent="0.45">
      <c r="B19" s="64" t="s">
        <v>739</v>
      </c>
      <c r="C19" s="63" t="s">
        <v>709</v>
      </c>
      <c r="D19" s="65" t="s">
        <v>740</v>
      </c>
    </row>
    <row r="20" spans="2:4" ht="78.75" x14ac:dyDescent="0.45">
      <c r="B20" s="64" t="s">
        <v>741</v>
      </c>
      <c r="C20" s="63" t="s">
        <v>742</v>
      </c>
      <c r="D20" s="65" t="s">
        <v>743</v>
      </c>
    </row>
    <row r="21" spans="2:4" ht="78.75" x14ac:dyDescent="0.45">
      <c r="B21" s="64" t="s">
        <v>744</v>
      </c>
      <c r="C21" s="63" t="s">
        <v>742</v>
      </c>
      <c r="D21" s="65" t="s">
        <v>745</v>
      </c>
    </row>
    <row r="22" spans="2:4" ht="52.5" x14ac:dyDescent="0.45">
      <c r="B22" s="64" t="s">
        <v>746</v>
      </c>
      <c r="C22" s="63" t="s">
        <v>742</v>
      </c>
      <c r="D22" s="65" t="s">
        <v>747</v>
      </c>
    </row>
    <row r="23" spans="2:4" ht="91.9" x14ac:dyDescent="0.45">
      <c r="B23" s="64" t="s">
        <v>748</v>
      </c>
      <c r="C23" s="63" t="s">
        <v>742</v>
      </c>
      <c r="D23" s="65" t="s">
        <v>749</v>
      </c>
    </row>
    <row r="24" spans="2:4" ht="78.75" x14ac:dyDescent="0.45">
      <c r="B24" s="64" t="s">
        <v>750</v>
      </c>
      <c r="C24" s="63" t="s">
        <v>742</v>
      </c>
      <c r="D24" s="65" t="s">
        <v>751</v>
      </c>
    </row>
    <row r="25" spans="2:4" ht="65.650000000000006" x14ac:dyDescent="0.45">
      <c r="B25" s="64" t="s">
        <v>752</v>
      </c>
      <c r="C25" s="63" t="s">
        <v>742</v>
      </c>
      <c r="D25" s="65" t="s">
        <v>753</v>
      </c>
    </row>
    <row r="26" spans="2:4" ht="65.650000000000006" x14ac:dyDescent="0.45">
      <c r="B26" s="64" t="s">
        <v>754</v>
      </c>
      <c r="C26" s="63" t="s">
        <v>709</v>
      </c>
      <c r="D26" s="65" t="s">
        <v>755</v>
      </c>
    </row>
    <row r="27" spans="2:4" ht="52.5" x14ac:dyDescent="0.45">
      <c r="B27" s="64" t="s">
        <v>756</v>
      </c>
      <c r="C27" s="63" t="s">
        <v>709</v>
      </c>
      <c r="D27" s="65" t="s">
        <v>757</v>
      </c>
    </row>
    <row r="28" spans="2:4" ht="91.9" x14ac:dyDescent="0.45">
      <c r="B28" s="64" t="s">
        <v>758</v>
      </c>
      <c r="C28" s="63" t="s">
        <v>709</v>
      </c>
      <c r="D28" s="65" t="s">
        <v>759</v>
      </c>
    </row>
    <row r="29" spans="2:4" ht="196.9" x14ac:dyDescent="0.45">
      <c r="B29" s="64" t="s">
        <v>10</v>
      </c>
      <c r="C29" s="63" t="s">
        <v>709</v>
      </c>
      <c r="D29" s="65" t="s">
        <v>760</v>
      </c>
    </row>
    <row r="30" spans="2:4" ht="26.25" x14ac:dyDescent="0.45">
      <c r="B30" s="64" t="s">
        <v>761</v>
      </c>
      <c r="C30" s="63" t="s">
        <v>709</v>
      </c>
      <c r="D30" s="65" t="s">
        <v>762</v>
      </c>
    </row>
    <row r="31" spans="2:4" ht="26.25" x14ac:dyDescent="0.45">
      <c r="B31" s="64" t="s">
        <v>763</v>
      </c>
      <c r="C31" s="63" t="s">
        <v>709</v>
      </c>
      <c r="D31" s="65" t="s">
        <v>764</v>
      </c>
    </row>
    <row r="32" spans="2:4" ht="39.4" x14ac:dyDescent="0.45">
      <c r="B32" s="64" t="s">
        <v>765</v>
      </c>
      <c r="C32" s="63" t="s">
        <v>709</v>
      </c>
      <c r="D32" s="65" t="s">
        <v>766</v>
      </c>
    </row>
    <row r="33" spans="2:4" ht="26.25" x14ac:dyDescent="0.45">
      <c r="B33" s="64" t="s">
        <v>767</v>
      </c>
      <c r="C33" s="63" t="s">
        <v>709</v>
      </c>
      <c r="D33" s="65" t="s">
        <v>768</v>
      </c>
    </row>
    <row r="34" spans="2:4" ht="78.75" x14ac:dyDescent="0.45">
      <c r="B34" s="64" t="s">
        <v>769</v>
      </c>
      <c r="C34" s="63" t="s">
        <v>709</v>
      </c>
      <c r="D34" s="65" t="s">
        <v>770</v>
      </c>
    </row>
    <row r="35" spans="2:4" ht="52.5" x14ac:dyDescent="0.45">
      <c r="B35" s="64" t="s">
        <v>771</v>
      </c>
      <c r="C35" s="63"/>
      <c r="D35" s="65" t="s">
        <v>772</v>
      </c>
    </row>
    <row r="36" spans="2:4" ht="39.4" x14ac:dyDescent="0.45">
      <c r="B36" s="64" t="s">
        <v>773</v>
      </c>
      <c r="C36" s="63"/>
      <c r="D36" s="65" t="s">
        <v>774</v>
      </c>
    </row>
    <row r="37" spans="2:4" ht="78.75" x14ac:dyDescent="0.45">
      <c r="B37" s="64" t="s">
        <v>775</v>
      </c>
      <c r="C37" s="63"/>
      <c r="D37" s="65" t="s">
        <v>776</v>
      </c>
    </row>
    <row r="38" spans="2:4" ht="80.25" x14ac:dyDescent="0.45">
      <c r="B38" s="64" t="s">
        <v>777</v>
      </c>
      <c r="C38" s="63" t="s">
        <v>709</v>
      </c>
      <c r="D38" s="65" t="s">
        <v>778</v>
      </c>
    </row>
    <row r="39" spans="2:4" ht="26.25" x14ac:dyDescent="0.45">
      <c r="B39" s="64" t="s">
        <v>779</v>
      </c>
      <c r="C39" s="63" t="s">
        <v>709</v>
      </c>
      <c r="D39" s="65" t="s">
        <v>780</v>
      </c>
    </row>
    <row r="40" spans="2:4" ht="71.25" x14ac:dyDescent="0.45">
      <c r="B40" s="64"/>
      <c r="C40" s="63"/>
      <c r="D40" s="66" t="s">
        <v>781</v>
      </c>
    </row>
    <row r="41" spans="2:4" ht="52.5" x14ac:dyDescent="0.45">
      <c r="B41" s="64" t="s">
        <v>782</v>
      </c>
      <c r="C41" s="63" t="s">
        <v>709</v>
      </c>
      <c r="D41" s="65" t="s">
        <v>783</v>
      </c>
    </row>
    <row r="42" spans="2:4" ht="39.4" x14ac:dyDescent="0.45">
      <c r="B42" s="64" t="s">
        <v>784</v>
      </c>
      <c r="C42" s="63" t="s">
        <v>709</v>
      </c>
      <c r="D42" s="65" t="s">
        <v>785</v>
      </c>
    </row>
    <row r="43" spans="2:4" ht="39.4" x14ac:dyDescent="0.45">
      <c r="B43" s="64" t="s">
        <v>786</v>
      </c>
      <c r="C43" s="63" t="s">
        <v>709</v>
      </c>
      <c r="D43" s="65" t="s">
        <v>787</v>
      </c>
    </row>
    <row r="44" spans="2:4" ht="65.650000000000006" x14ac:dyDescent="0.45">
      <c r="B44" s="70" t="s">
        <v>788</v>
      </c>
      <c r="C44" s="71" t="s">
        <v>709</v>
      </c>
      <c r="D44" s="72" t="s">
        <v>789</v>
      </c>
    </row>
  </sheetData>
  <hyperlinks>
    <hyperlink ref="D40" r:id="rId1" display="https://halock.sharepoint.com/:p:/g/gce/Edm7fr-SSpxAgDiHtiU-7s4B9WfuoveGnu1oiCZYt7-cWw?e=QJ4LmE" xr:uid="{C00EEAAC-2CFF-4BFD-AF9E-B2F74F6654A4}"/>
  </hyperlinks>
  <pageMargins left="0.7" right="0.7" top="0.75" bottom="0.75" header="0.3" footer="0.3"/>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H20"/>
  <sheetViews>
    <sheetView workbookViewId="0">
      <selection activeCell="C7" sqref="C7"/>
    </sheetView>
  </sheetViews>
  <sheetFormatPr defaultRowHeight="14.25" x14ac:dyDescent="0.45"/>
  <cols>
    <col min="1" max="1" width="31.1328125" bestFit="1" customWidth="1"/>
    <col min="2" max="2" width="10.265625" bestFit="1" customWidth="1"/>
    <col min="3" max="3" width="9.73046875" bestFit="1" customWidth="1"/>
    <col min="4" max="4" width="5.86328125" bestFit="1" customWidth="1"/>
    <col min="5" max="5" width="6" bestFit="1" customWidth="1"/>
    <col min="6" max="8" width="9.265625" bestFit="1" customWidth="1"/>
  </cols>
  <sheetData>
    <row r="1" spans="1:8" x14ac:dyDescent="0.45">
      <c r="A1" s="16" t="s">
        <v>898</v>
      </c>
      <c r="B1" t="s">
        <v>1968</v>
      </c>
    </row>
    <row r="3" spans="1:8" ht="57" x14ac:dyDescent="0.45">
      <c r="A3" s="16" t="s">
        <v>0</v>
      </c>
      <c r="B3" s="37" t="s">
        <v>2</v>
      </c>
      <c r="C3" s="37" t="s">
        <v>3</v>
      </c>
      <c r="D3" s="37" t="s">
        <v>1</v>
      </c>
      <c r="E3" s="36" t="s">
        <v>7</v>
      </c>
      <c r="F3" s="36" t="s">
        <v>6</v>
      </c>
      <c r="G3" s="36" t="s">
        <v>5</v>
      </c>
      <c r="H3" s="36" t="s">
        <v>4</v>
      </c>
    </row>
    <row r="4" spans="1:8" x14ac:dyDescent="0.45">
      <c r="A4" s="17" t="s">
        <v>11</v>
      </c>
      <c r="B4" s="54">
        <v>9</v>
      </c>
      <c r="C4" s="18">
        <v>9</v>
      </c>
      <c r="D4" s="18">
        <v>4.5</v>
      </c>
      <c r="E4" s="18">
        <v>9</v>
      </c>
      <c r="F4" s="18">
        <v>4.5</v>
      </c>
      <c r="G4" s="18">
        <v>6</v>
      </c>
      <c r="H4" s="18">
        <v>3.75</v>
      </c>
    </row>
    <row r="5" spans="1:8" x14ac:dyDescent="0.45">
      <c r="A5" s="17" t="s">
        <v>12</v>
      </c>
      <c r="B5" s="54">
        <v>9</v>
      </c>
      <c r="C5" s="18">
        <v>12</v>
      </c>
      <c r="D5" s="18">
        <v>6.8571428571428568</v>
      </c>
      <c r="E5" s="18">
        <v>12</v>
      </c>
      <c r="F5" s="18">
        <v>6.8571428571428568</v>
      </c>
      <c r="G5" s="18">
        <v>6</v>
      </c>
      <c r="H5" s="18">
        <v>6</v>
      </c>
    </row>
    <row r="6" spans="1:8" x14ac:dyDescent="0.45">
      <c r="A6" s="17" t="s">
        <v>13</v>
      </c>
      <c r="B6" s="54">
        <v>9</v>
      </c>
      <c r="C6" s="18">
        <v>8</v>
      </c>
      <c r="D6" s="18">
        <v>8</v>
      </c>
      <c r="E6" s="18">
        <v>8</v>
      </c>
      <c r="F6" s="18">
        <v>8</v>
      </c>
      <c r="G6" s="18">
        <v>8</v>
      </c>
      <c r="H6" s="18">
        <v>8</v>
      </c>
    </row>
    <row r="7" spans="1:8" x14ac:dyDescent="0.45">
      <c r="A7" s="17" t="s">
        <v>14</v>
      </c>
      <c r="B7" s="54">
        <v>9</v>
      </c>
      <c r="C7" s="18">
        <v>6</v>
      </c>
      <c r="D7" s="18">
        <v>4.2</v>
      </c>
      <c r="E7" s="18">
        <v>6</v>
      </c>
      <c r="F7" s="18">
        <v>4.2</v>
      </c>
      <c r="G7" s="18">
        <v>6</v>
      </c>
      <c r="H7" s="18">
        <v>4.2</v>
      </c>
    </row>
    <row r="8" spans="1:8" x14ac:dyDescent="0.45">
      <c r="A8" s="17" t="s">
        <v>16</v>
      </c>
      <c r="B8" s="54">
        <v>9</v>
      </c>
      <c r="C8" s="18">
        <v>16</v>
      </c>
      <c r="D8" s="18">
        <v>8.8888888888888893</v>
      </c>
      <c r="E8" s="18">
        <v>16</v>
      </c>
      <c r="F8" s="18">
        <v>8.8888888888888893</v>
      </c>
      <c r="G8" s="18">
        <v>8</v>
      </c>
      <c r="H8" s="18">
        <v>5.333333333333333</v>
      </c>
    </row>
    <row r="9" spans="1:8" x14ac:dyDescent="0.45">
      <c r="A9" s="17" t="s">
        <v>17</v>
      </c>
      <c r="B9" s="54">
        <v>9</v>
      </c>
      <c r="C9" s="18">
        <v>4</v>
      </c>
      <c r="D9" s="18">
        <v>2.25</v>
      </c>
      <c r="E9" s="18">
        <v>4</v>
      </c>
      <c r="F9" s="18">
        <v>2.25</v>
      </c>
      <c r="G9" s="18">
        <v>4</v>
      </c>
      <c r="H9" s="18">
        <v>2.25</v>
      </c>
    </row>
    <row r="10" spans="1:8" x14ac:dyDescent="0.45">
      <c r="A10" s="17" t="s">
        <v>18</v>
      </c>
      <c r="B10" s="54">
        <v>9</v>
      </c>
      <c r="C10" s="18">
        <v>8</v>
      </c>
      <c r="D10" s="18">
        <v>5</v>
      </c>
      <c r="E10" s="18">
        <v>8</v>
      </c>
      <c r="F10" s="18">
        <v>5</v>
      </c>
      <c r="G10" s="18">
        <v>8</v>
      </c>
      <c r="H10" s="18">
        <v>5</v>
      </c>
    </row>
    <row r="11" spans="1:8" x14ac:dyDescent="0.45">
      <c r="A11" s="17" t="s">
        <v>19</v>
      </c>
      <c r="B11" s="54">
        <v>9</v>
      </c>
      <c r="C11" s="18">
        <v>6</v>
      </c>
      <c r="D11" s="18">
        <v>3.5555555555555554</v>
      </c>
      <c r="E11" s="18">
        <v>6</v>
      </c>
      <c r="F11" s="18">
        <v>3.5555555555555554</v>
      </c>
      <c r="G11" s="18">
        <v>6</v>
      </c>
      <c r="H11" s="18">
        <v>3.5555555555555554</v>
      </c>
    </row>
    <row r="12" spans="1:8" x14ac:dyDescent="0.45">
      <c r="A12" s="17" t="s">
        <v>21</v>
      </c>
      <c r="B12" s="54">
        <v>9</v>
      </c>
      <c r="C12" s="18">
        <v>12</v>
      </c>
      <c r="D12" s="18">
        <v>5.1764705882352944</v>
      </c>
      <c r="E12" s="18">
        <v>12</v>
      </c>
      <c r="F12" s="18">
        <v>5.1764705882352944</v>
      </c>
      <c r="G12" s="18">
        <v>8</v>
      </c>
      <c r="H12" s="18">
        <v>4.8235294117647056</v>
      </c>
    </row>
    <row r="13" spans="1:8" x14ac:dyDescent="0.45">
      <c r="A13" s="17" t="s">
        <v>22</v>
      </c>
      <c r="B13" s="54">
        <v>9</v>
      </c>
      <c r="C13" s="18">
        <v>12</v>
      </c>
      <c r="D13" s="18">
        <v>5.7241379310344831</v>
      </c>
      <c r="E13" s="18">
        <v>12</v>
      </c>
      <c r="F13" s="18">
        <v>5.7241379310344831</v>
      </c>
      <c r="G13" s="18">
        <v>8</v>
      </c>
      <c r="H13" s="18">
        <v>4.7586206896551726</v>
      </c>
    </row>
    <row r="14" spans="1:8" x14ac:dyDescent="0.45">
      <c r="A14" s="17" t="s">
        <v>653</v>
      </c>
      <c r="B14" s="54">
        <v>9</v>
      </c>
      <c r="C14" s="18">
        <v>12</v>
      </c>
      <c r="D14" s="18">
        <v>5</v>
      </c>
      <c r="E14" s="18">
        <v>12</v>
      </c>
      <c r="F14" s="18">
        <v>5</v>
      </c>
      <c r="G14" s="18">
        <v>6</v>
      </c>
      <c r="H14" s="18">
        <v>4.4000000000000004</v>
      </c>
    </row>
    <row r="15" spans="1:8" x14ac:dyDescent="0.45">
      <c r="A15" s="17" t="s">
        <v>24</v>
      </c>
      <c r="B15" s="54">
        <v>9</v>
      </c>
      <c r="C15" s="18">
        <v>12</v>
      </c>
      <c r="D15" s="18">
        <v>7.333333333333333</v>
      </c>
      <c r="E15" s="18">
        <v>12</v>
      </c>
      <c r="F15" s="18">
        <v>7.333333333333333</v>
      </c>
      <c r="G15" s="18">
        <v>8</v>
      </c>
      <c r="H15" s="18">
        <v>6.833333333333333</v>
      </c>
    </row>
    <row r="16" spans="1:8" x14ac:dyDescent="0.45">
      <c r="A16" s="17" t="s">
        <v>654</v>
      </c>
      <c r="B16" s="54">
        <v>9</v>
      </c>
      <c r="C16" s="18">
        <v>8</v>
      </c>
      <c r="D16" s="18">
        <v>6.666666666666667</v>
      </c>
      <c r="E16" s="18">
        <v>8</v>
      </c>
      <c r="F16" s="18">
        <v>6.666666666666667</v>
      </c>
      <c r="G16" s="18">
        <v>8</v>
      </c>
      <c r="H16" s="18">
        <v>6.666666666666667</v>
      </c>
    </row>
    <row r="17" spans="1:8" x14ac:dyDescent="0.45">
      <c r="A17" s="17" t="s">
        <v>655</v>
      </c>
      <c r="B17" s="54">
        <v>9</v>
      </c>
      <c r="C17" s="18">
        <v>12</v>
      </c>
      <c r="D17" s="18">
        <v>12</v>
      </c>
      <c r="E17" s="18">
        <v>12</v>
      </c>
      <c r="F17" s="18">
        <v>12</v>
      </c>
      <c r="G17" s="18">
        <v>6</v>
      </c>
      <c r="H17" s="18">
        <v>6</v>
      </c>
    </row>
    <row r="18" spans="1:8" x14ac:dyDescent="0.45">
      <c r="A18" s="17" t="s">
        <v>25</v>
      </c>
      <c r="B18" s="54">
        <v>9</v>
      </c>
      <c r="C18" s="18">
        <v>6</v>
      </c>
      <c r="D18" s="18">
        <v>4</v>
      </c>
      <c r="E18" s="18">
        <v>6</v>
      </c>
      <c r="F18" s="18">
        <v>4</v>
      </c>
      <c r="G18" s="18">
        <v>6</v>
      </c>
      <c r="H18" s="18">
        <v>4</v>
      </c>
    </row>
    <row r="19" spans="1:8" x14ac:dyDescent="0.45">
      <c r="A19" s="17" t="s">
        <v>28</v>
      </c>
      <c r="B19" s="54">
        <v>9</v>
      </c>
      <c r="C19" s="18">
        <v>9</v>
      </c>
      <c r="D19" s="18">
        <v>5.6</v>
      </c>
      <c r="E19" s="18">
        <v>9</v>
      </c>
      <c r="F19" s="18">
        <v>5.6</v>
      </c>
      <c r="G19" s="18">
        <v>6</v>
      </c>
      <c r="H19" s="18">
        <v>5</v>
      </c>
    </row>
    <row r="20" spans="1:8" x14ac:dyDescent="0.45">
      <c r="A20" s="17" t="s">
        <v>29</v>
      </c>
      <c r="B20" s="54">
        <v>9</v>
      </c>
      <c r="C20" s="18">
        <v>16</v>
      </c>
      <c r="D20" s="18">
        <v>5.5620915032679736</v>
      </c>
      <c r="E20" s="18">
        <v>16</v>
      </c>
      <c r="F20" s="18">
        <v>5.5620915032679736</v>
      </c>
      <c r="G20" s="18">
        <v>8</v>
      </c>
      <c r="H20" s="18">
        <v>4.9346405228758172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3:H13"/>
  <sheetViews>
    <sheetView workbookViewId="0">
      <selection activeCell="D6" sqref="D6"/>
    </sheetView>
  </sheetViews>
  <sheetFormatPr defaultRowHeight="14.25" x14ac:dyDescent="0.45"/>
  <cols>
    <col min="1" max="1" width="17" bestFit="1" customWidth="1"/>
    <col min="2" max="2" width="6.73046875" bestFit="1" customWidth="1"/>
    <col min="3" max="3" width="6" bestFit="1" customWidth="1"/>
    <col min="4" max="4" width="10.3984375" bestFit="1" customWidth="1"/>
    <col min="5" max="5" width="9.265625" bestFit="1" customWidth="1"/>
    <col min="6" max="6" width="11.1328125" bestFit="1" customWidth="1"/>
    <col min="7" max="7" width="11" bestFit="1" customWidth="1"/>
    <col min="8" max="8" width="10.3984375" bestFit="1" customWidth="1"/>
  </cols>
  <sheetData>
    <row r="3" spans="1:8" ht="57" x14ac:dyDescent="0.45">
      <c r="A3" s="16" t="s">
        <v>0</v>
      </c>
      <c r="B3" s="37" t="s">
        <v>2</v>
      </c>
      <c r="C3" s="37" t="s">
        <v>3</v>
      </c>
      <c r="D3" s="37" t="s">
        <v>1</v>
      </c>
      <c r="E3" s="36" t="s">
        <v>7</v>
      </c>
      <c r="F3" s="36" t="s">
        <v>6</v>
      </c>
      <c r="G3" s="36" t="s">
        <v>5</v>
      </c>
      <c r="H3" s="36" t="s">
        <v>4</v>
      </c>
    </row>
    <row r="4" spans="1:8" x14ac:dyDescent="0.45">
      <c r="A4" s="17" t="s">
        <v>30</v>
      </c>
      <c r="B4" s="54">
        <v>9</v>
      </c>
      <c r="C4" s="18">
        <v>16</v>
      </c>
      <c r="D4" s="18">
        <v>6.7608695652173916</v>
      </c>
      <c r="E4" s="18">
        <v>16</v>
      </c>
      <c r="F4" s="18">
        <v>6.7608695652173916</v>
      </c>
      <c r="G4" s="18">
        <v>8</v>
      </c>
      <c r="H4" s="18">
        <v>5.7608695652173916</v>
      </c>
    </row>
    <row r="5" spans="1:8" x14ac:dyDescent="0.45">
      <c r="A5" s="17" t="s">
        <v>31</v>
      </c>
      <c r="B5" s="54">
        <v>9</v>
      </c>
      <c r="C5" s="18">
        <v>16</v>
      </c>
      <c r="D5" s="18">
        <v>4.7894736842105265</v>
      </c>
      <c r="E5" s="18">
        <v>16</v>
      </c>
      <c r="F5" s="18">
        <v>4.7894736842105265</v>
      </c>
      <c r="G5" s="18">
        <v>8</v>
      </c>
      <c r="H5" s="18">
        <v>3.736842105263158</v>
      </c>
    </row>
    <row r="6" spans="1:8" x14ac:dyDescent="0.45">
      <c r="A6" s="17" t="s">
        <v>32</v>
      </c>
      <c r="B6" s="54">
        <v>9</v>
      </c>
      <c r="C6" s="18">
        <v>3</v>
      </c>
      <c r="D6" s="18">
        <v>2.5</v>
      </c>
      <c r="E6" s="18">
        <v>3</v>
      </c>
      <c r="F6" s="18">
        <v>2.5</v>
      </c>
      <c r="G6" s="18">
        <v>3</v>
      </c>
      <c r="H6" s="18">
        <v>2.5</v>
      </c>
    </row>
    <row r="7" spans="1:8" x14ac:dyDescent="0.45">
      <c r="A7" s="17" t="s">
        <v>33</v>
      </c>
      <c r="B7" s="54">
        <v>9</v>
      </c>
      <c r="C7" s="18">
        <v>9</v>
      </c>
      <c r="D7" s="18">
        <v>5.8181818181818183</v>
      </c>
      <c r="E7" s="18">
        <v>9</v>
      </c>
      <c r="F7" s="18">
        <v>5.8181818181818183</v>
      </c>
      <c r="G7" s="18">
        <v>8</v>
      </c>
      <c r="H7" s="18">
        <v>5.7272727272727275</v>
      </c>
    </row>
    <row r="8" spans="1:8" x14ac:dyDescent="0.45">
      <c r="A8" s="17" t="s">
        <v>34</v>
      </c>
      <c r="B8" s="54">
        <v>9</v>
      </c>
      <c r="C8" s="18">
        <v>9</v>
      </c>
      <c r="D8" s="18">
        <v>4.4117647058823533</v>
      </c>
      <c r="E8" s="18">
        <v>9</v>
      </c>
      <c r="F8" s="18">
        <v>4.4117647058823533</v>
      </c>
      <c r="G8" s="18">
        <v>8</v>
      </c>
      <c r="H8" s="18">
        <v>4.2352941176470589</v>
      </c>
    </row>
    <row r="9" spans="1:8" x14ac:dyDescent="0.45">
      <c r="A9" s="17" t="s">
        <v>35</v>
      </c>
      <c r="B9" s="54">
        <v>9</v>
      </c>
      <c r="C9" s="18">
        <v>6</v>
      </c>
      <c r="D9" s="18">
        <v>6</v>
      </c>
      <c r="E9" s="18">
        <v>6</v>
      </c>
      <c r="F9" s="18">
        <v>6</v>
      </c>
      <c r="G9" s="18">
        <v>6</v>
      </c>
      <c r="H9" s="18">
        <v>6</v>
      </c>
    </row>
    <row r="10" spans="1:8" x14ac:dyDescent="0.45">
      <c r="A10" s="17" t="s">
        <v>1108</v>
      </c>
      <c r="B10" s="54">
        <v>9</v>
      </c>
      <c r="C10" s="18">
        <v>2</v>
      </c>
      <c r="D10" s="18">
        <v>2</v>
      </c>
      <c r="E10" s="18">
        <v>2</v>
      </c>
      <c r="F10" s="18">
        <v>2</v>
      </c>
      <c r="G10" s="18">
        <v>2</v>
      </c>
      <c r="H10" s="18">
        <v>2</v>
      </c>
    </row>
    <row r="11" spans="1:8" x14ac:dyDescent="0.45">
      <c r="A11" s="17" t="s">
        <v>37</v>
      </c>
      <c r="B11" s="54">
        <v>9</v>
      </c>
      <c r="C11" s="18">
        <v>6</v>
      </c>
      <c r="D11" s="18">
        <v>3.75</v>
      </c>
      <c r="E11" s="18">
        <v>6</v>
      </c>
      <c r="F11" s="18">
        <v>3.75</v>
      </c>
      <c r="G11" s="18">
        <v>6</v>
      </c>
      <c r="H11" s="18">
        <v>3.75</v>
      </c>
    </row>
    <row r="12" spans="1:8" x14ac:dyDescent="0.45">
      <c r="A12" s="17" t="s">
        <v>611</v>
      </c>
      <c r="B12" s="54">
        <v>9</v>
      </c>
      <c r="C12" s="18">
        <v>12</v>
      </c>
      <c r="D12" s="18">
        <v>5.5384615384615383</v>
      </c>
      <c r="E12" s="18">
        <v>12</v>
      </c>
      <c r="F12" s="18">
        <v>5.5384615384615383</v>
      </c>
      <c r="G12" s="18">
        <v>8</v>
      </c>
      <c r="H12" s="18">
        <v>4.615384615384615</v>
      </c>
    </row>
    <row r="13" spans="1:8" x14ac:dyDescent="0.45">
      <c r="A13" s="17" t="s">
        <v>29</v>
      </c>
      <c r="B13" s="54">
        <v>9</v>
      </c>
      <c r="C13" s="18">
        <v>16</v>
      </c>
      <c r="D13" s="18">
        <v>5.5620915032679736</v>
      </c>
      <c r="E13" s="18">
        <v>16</v>
      </c>
      <c r="F13" s="18">
        <v>5.5620915032679736</v>
      </c>
      <c r="G13" s="18">
        <v>8</v>
      </c>
      <c r="H13" s="18">
        <v>4.9346405228758172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EC83-C070-46F8-A240-8D446E6CF552}">
  <dimension ref="A3:D20"/>
  <sheetViews>
    <sheetView workbookViewId="0">
      <selection activeCell="D20" sqref="A3:D20"/>
    </sheetView>
  </sheetViews>
  <sheetFormatPr defaultRowHeight="14.25" x14ac:dyDescent="0.45"/>
  <cols>
    <col min="1" max="1" width="29.3984375" bestFit="1" customWidth="1"/>
    <col min="2" max="2" width="25.86328125" bestFit="1" customWidth="1"/>
    <col min="3" max="3" width="28.3984375" bestFit="1" customWidth="1"/>
    <col min="4" max="4" width="29.1328125" bestFit="1" customWidth="1"/>
  </cols>
  <sheetData>
    <row r="3" spans="1:4" x14ac:dyDescent="0.45">
      <c r="A3" s="283" t="s">
        <v>0</v>
      </c>
      <c r="B3" s="282" t="s">
        <v>1965</v>
      </c>
      <c r="C3" s="292" t="s">
        <v>1966</v>
      </c>
      <c r="D3" s="287" t="s">
        <v>1967</v>
      </c>
    </row>
    <row r="4" spans="1:4" x14ac:dyDescent="0.45">
      <c r="A4" s="284" t="s">
        <v>11</v>
      </c>
      <c r="B4" s="282">
        <v>2</v>
      </c>
      <c r="C4" s="292">
        <v>3</v>
      </c>
      <c r="D4" s="287">
        <v>3</v>
      </c>
    </row>
    <row r="5" spans="1:4" x14ac:dyDescent="0.45">
      <c r="A5" s="285" t="s">
        <v>12</v>
      </c>
      <c r="B5" s="288">
        <v>2</v>
      </c>
      <c r="C5" s="293">
        <v>3</v>
      </c>
      <c r="D5" s="289">
        <v>3</v>
      </c>
    </row>
    <row r="6" spans="1:4" x14ac:dyDescent="0.45">
      <c r="A6" s="285" t="s">
        <v>13</v>
      </c>
      <c r="B6" s="288">
        <v>4</v>
      </c>
      <c r="C6" s="293">
        <v>4</v>
      </c>
      <c r="D6" s="289">
        <v>4</v>
      </c>
    </row>
    <row r="7" spans="1:4" x14ac:dyDescent="0.45">
      <c r="A7" s="285" t="s">
        <v>14</v>
      </c>
      <c r="B7" s="288">
        <v>2</v>
      </c>
      <c r="C7" s="293">
        <v>2</v>
      </c>
      <c r="D7" s="289">
        <v>3</v>
      </c>
    </row>
    <row r="8" spans="1:4" x14ac:dyDescent="0.45">
      <c r="A8" s="285" t="s">
        <v>16</v>
      </c>
      <c r="B8" s="288">
        <v>3</v>
      </c>
      <c r="C8" s="293">
        <v>3</v>
      </c>
      <c r="D8" s="289">
        <v>4</v>
      </c>
    </row>
    <row r="9" spans="1:4" x14ac:dyDescent="0.45">
      <c r="A9" s="285" t="s">
        <v>17</v>
      </c>
      <c r="B9" s="288">
        <v>1.5833333333333333</v>
      </c>
      <c r="C9" s="293">
        <v>1.6666666666666667</v>
      </c>
      <c r="D9" s="289">
        <v>2.0833333333333335</v>
      </c>
    </row>
    <row r="10" spans="1:4" x14ac:dyDescent="0.45">
      <c r="A10" s="285" t="s">
        <v>18</v>
      </c>
      <c r="B10" s="288">
        <v>2.1111111111111112</v>
      </c>
      <c r="C10" s="293">
        <v>2.2222222222222223</v>
      </c>
      <c r="D10" s="289">
        <v>2.3333333333333335</v>
      </c>
    </row>
    <row r="11" spans="1:4" x14ac:dyDescent="0.45">
      <c r="A11" s="285" t="s">
        <v>19</v>
      </c>
      <c r="B11" s="288">
        <v>2</v>
      </c>
      <c r="C11" s="293">
        <v>2</v>
      </c>
      <c r="D11" s="289">
        <v>2</v>
      </c>
    </row>
    <row r="12" spans="1:4" x14ac:dyDescent="0.45">
      <c r="A12" s="285" t="s">
        <v>21</v>
      </c>
      <c r="B12" s="288">
        <v>2.1764705882352939</v>
      </c>
      <c r="C12" s="293">
        <v>2.2941176470588234</v>
      </c>
      <c r="D12" s="289">
        <v>2.5882352941176472</v>
      </c>
    </row>
    <row r="13" spans="1:4" x14ac:dyDescent="0.45">
      <c r="A13" s="285" t="s">
        <v>22</v>
      </c>
      <c r="B13" s="288">
        <v>2.4137931034482758</v>
      </c>
      <c r="C13" s="293">
        <v>2.4137931034482758</v>
      </c>
      <c r="D13" s="289">
        <v>3</v>
      </c>
    </row>
    <row r="14" spans="1:4" x14ac:dyDescent="0.45">
      <c r="A14" s="285" t="s">
        <v>653</v>
      </c>
      <c r="B14" s="288">
        <v>2.1</v>
      </c>
      <c r="C14" s="293">
        <v>2.1</v>
      </c>
      <c r="D14" s="289">
        <v>2.2999999999999998</v>
      </c>
    </row>
    <row r="15" spans="1:4" x14ac:dyDescent="0.45">
      <c r="A15" s="285" t="s">
        <v>654</v>
      </c>
      <c r="B15" s="288">
        <v>2.5</v>
      </c>
      <c r="C15" s="293">
        <v>2.5</v>
      </c>
      <c r="D15" s="289">
        <v>3.3333333333333335</v>
      </c>
    </row>
    <row r="16" spans="1:4" x14ac:dyDescent="0.45">
      <c r="A16" s="285" t="s">
        <v>24</v>
      </c>
      <c r="B16" s="288">
        <v>2.6666666666666665</v>
      </c>
      <c r="C16" s="293">
        <v>2.8333333333333335</v>
      </c>
      <c r="D16" s="289">
        <v>3.6666666666666665</v>
      </c>
    </row>
    <row r="17" spans="1:4" x14ac:dyDescent="0.45">
      <c r="A17" s="285" t="s">
        <v>655</v>
      </c>
      <c r="B17" s="288">
        <v>2</v>
      </c>
      <c r="C17" s="293">
        <v>2</v>
      </c>
      <c r="D17" s="289">
        <v>3</v>
      </c>
    </row>
    <row r="18" spans="1:4" x14ac:dyDescent="0.45">
      <c r="A18" s="285" t="s">
        <v>25</v>
      </c>
      <c r="B18" s="288">
        <v>2</v>
      </c>
      <c r="C18" s="293">
        <v>2</v>
      </c>
      <c r="D18" s="289">
        <v>2</v>
      </c>
    </row>
    <row r="19" spans="1:4" x14ac:dyDescent="0.45">
      <c r="A19" s="285" t="s">
        <v>28</v>
      </c>
      <c r="B19" s="288">
        <v>2</v>
      </c>
      <c r="C19" s="293">
        <v>2.8</v>
      </c>
      <c r="D19" s="289">
        <v>2.8</v>
      </c>
    </row>
    <row r="20" spans="1:4" x14ac:dyDescent="0.45">
      <c r="A20" s="286" t="s">
        <v>29</v>
      </c>
      <c r="B20" s="290">
        <v>2.3267973856209152</v>
      </c>
      <c r="C20" s="294">
        <v>2.4640522875816995</v>
      </c>
      <c r="D20" s="291">
        <v>2.8562091503267975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4" tint="0.39997558519241921"/>
    <pageSetUpPr fitToPage="1"/>
  </sheetPr>
  <dimension ref="A1:BQ157"/>
  <sheetViews>
    <sheetView tabSelected="1" topLeftCell="A2" zoomScale="76" zoomScaleNormal="75" zoomScalePageLayoutView="70" workbookViewId="0">
      <selection activeCell="BY7" sqref="BY7"/>
    </sheetView>
  </sheetViews>
  <sheetFormatPr defaultColWidth="8.73046875" defaultRowHeight="21" outlineLevelRow="1" outlineLevelCol="2" x14ac:dyDescent="0.65"/>
  <cols>
    <col min="1" max="1" width="6.86328125" style="21" customWidth="1"/>
    <col min="2" max="2" width="18.73046875" style="21" customWidth="1"/>
    <col min="3" max="4" width="65.86328125" style="21" customWidth="1"/>
    <col min="5" max="8" width="10.86328125" style="21" customWidth="1" outlineLevel="1"/>
    <col min="9" max="14" width="14.3984375" style="21" customWidth="1" outlineLevel="1"/>
    <col min="15" max="15" width="34.1328125" style="21" customWidth="1"/>
    <col min="16" max="16" width="19.1328125" style="21" customWidth="1"/>
    <col min="17" max="17" width="23" style="21" customWidth="1"/>
    <col min="18" max="18" width="28.1328125" customWidth="1"/>
    <col min="19" max="19" width="85.86328125" style="21" customWidth="1"/>
    <col min="20" max="21" width="44.1328125" style="21" customWidth="1" outlineLevel="1"/>
    <col min="22" max="23" width="42.86328125" style="23" customWidth="1"/>
    <col min="24" max="24" width="42.86328125" style="22" customWidth="1"/>
    <col min="25" max="25" width="8.73046875" style="23" customWidth="1" outlineLevel="2"/>
    <col min="26" max="26" width="10.1328125" style="24" customWidth="1" outlineLevel="2"/>
    <col min="27" max="27" width="17.1328125" style="24" customWidth="1" outlineLevel="2"/>
    <col min="28" max="28" width="12" style="24" customWidth="1" outlineLevel="1"/>
    <col min="29" max="31" width="12" style="25" customWidth="1" outlineLevel="2"/>
    <col min="32" max="32" width="12" style="25" customWidth="1" outlineLevel="1"/>
    <col min="33" max="33" width="13.86328125" style="25" customWidth="1"/>
    <col min="34" max="34" width="13.86328125" style="26" customWidth="1" collapsed="1"/>
    <col min="35" max="35" width="18.1328125" style="26" customWidth="1"/>
    <col min="36" max="38" width="10.73046875" style="26" customWidth="1"/>
    <col min="39" max="39" width="19.86328125" style="26" customWidth="1" outlineLevel="1"/>
    <col min="40" max="40" width="33.73046875" style="27" customWidth="1" outlineLevel="1"/>
    <col min="41" max="43" width="80.265625" style="27" customWidth="1" outlineLevel="1"/>
    <col min="44" max="44" width="20.265625" style="27" customWidth="1" outlineLevel="1"/>
    <col min="45" max="45" width="10.59765625" style="27" customWidth="1" outlineLevel="1"/>
    <col min="46" max="46" width="10" style="22" customWidth="1" outlineLevel="2"/>
    <col min="47" max="47" width="12" style="22" customWidth="1" outlineLevel="1"/>
    <col min="48" max="50" width="12" style="25" customWidth="1" outlineLevel="2"/>
    <col min="51" max="51" width="12" style="25" customWidth="1" outlineLevel="1"/>
    <col min="52" max="52" width="16.265625" style="25" customWidth="1" outlineLevel="1"/>
    <col min="53" max="53" width="16.1328125" style="25" customWidth="1" outlineLevel="1"/>
    <col min="54" max="54" width="15.1328125" style="26" customWidth="1" outlineLevel="1"/>
    <col min="55" max="55" width="16.86328125" style="25" customWidth="1" outlineLevel="1" collapsed="1"/>
    <col min="56" max="56" width="16.86328125" style="25" customWidth="1" outlineLevel="1"/>
    <col min="57" max="57" width="40.73046875" style="25" customWidth="1"/>
    <col min="58" max="59" width="14.86328125" style="25" customWidth="1"/>
    <col min="60" max="60" width="82.86328125" style="25" hidden="1" customWidth="1" outlineLevel="1"/>
    <col min="61" max="61" width="13.1328125" style="25" hidden="1" customWidth="1" collapsed="1"/>
    <col min="62" max="69" width="13.1328125" style="25" hidden="1" customWidth="1"/>
    <col min="70" max="71" width="13.1328125" style="25" customWidth="1"/>
    <col min="72" max="16384" width="8.73046875" style="25"/>
  </cols>
  <sheetData>
    <row r="1" spans="1:69" s="28" customFormat="1" ht="409.5" hidden="1" outlineLevel="1" x14ac:dyDescent="0.45">
      <c r="A1" s="10"/>
      <c r="B1" s="10"/>
      <c r="C1" s="10"/>
      <c r="D1" s="10"/>
      <c r="E1" s="20"/>
      <c r="F1" s="20"/>
      <c r="G1" s="20"/>
      <c r="H1" s="20"/>
      <c r="I1" s="20"/>
      <c r="J1" s="20"/>
      <c r="K1" s="20"/>
      <c r="L1" s="20"/>
      <c r="M1" s="20"/>
      <c r="N1" s="20"/>
      <c r="O1" s="20" t="s">
        <v>38</v>
      </c>
      <c r="P1" s="20" t="s">
        <v>39</v>
      </c>
      <c r="Q1" s="10" t="s">
        <v>631</v>
      </c>
      <c r="R1" s="20" t="s">
        <v>40</v>
      </c>
      <c r="S1" s="20"/>
      <c r="T1" s="10" t="s">
        <v>41</v>
      </c>
      <c r="U1" s="10" t="s">
        <v>42</v>
      </c>
      <c r="V1" s="78"/>
      <c r="W1" s="78"/>
      <c r="X1" s="10" t="s">
        <v>43</v>
      </c>
      <c r="Y1" s="1" t="s">
        <v>807</v>
      </c>
      <c r="Z1" s="1" t="s">
        <v>806</v>
      </c>
      <c r="AA1" s="1"/>
      <c r="AB1" s="1" t="s">
        <v>633</v>
      </c>
      <c r="AC1" s="1" t="s">
        <v>44</v>
      </c>
      <c r="AD1" s="1" t="s">
        <v>45</v>
      </c>
      <c r="AE1" s="1" t="s">
        <v>46</v>
      </c>
      <c r="AF1" s="11" t="s">
        <v>47</v>
      </c>
      <c r="AG1" s="2" t="s">
        <v>48</v>
      </c>
      <c r="AH1" s="2" t="s">
        <v>49</v>
      </c>
      <c r="AI1" s="2"/>
      <c r="AJ1" s="2"/>
      <c r="AK1" s="2"/>
      <c r="AL1" s="2"/>
      <c r="AM1" s="2" t="s">
        <v>50</v>
      </c>
      <c r="AN1" s="2"/>
      <c r="AO1" s="2" t="s">
        <v>51</v>
      </c>
      <c r="AP1" s="2"/>
      <c r="AQ1" s="2"/>
      <c r="AR1" s="2"/>
      <c r="AS1" s="2"/>
      <c r="AT1" s="1" t="s">
        <v>806</v>
      </c>
      <c r="AU1" s="1" t="s">
        <v>632</v>
      </c>
      <c r="AV1" s="1" t="s">
        <v>52</v>
      </c>
      <c r="AW1" s="1" t="s">
        <v>53</v>
      </c>
      <c r="AX1" s="1" t="s">
        <v>54</v>
      </c>
      <c r="AY1" s="11" t="s">
        <v>47</v>
      </c>
      <c r="AZ1" s="11"/>
      <c r="BA1" s="2" t="s">
        <v>55</v>
      </c>
    </row>
    <row r="2" spans="1:69" s="174" customFormat="1" ht="15.75" collapsed="1" x14ac:dyDescent="0.45">
      <c r="V2" s="175"/>
      <c r="W2" s="175"/>
    </row>
    <row r="3" spans="1:69" ht="78.75" x14ac:dyDescent="0.65">
      <c r="A3" s="3" t="s">
        <v>56</v>
      </c>
      <c r="B3" s="3" t="s">
        <v>898</v>
      </c>
      <c r="C3" s="3" t="s">
        <v>897</v>
      </c>
      <c r="D3" s="3" t="s">
        <v>1122</v>
      </c>
      <c r="E3" s="3" t="s">
        <v>1088</v>
      </c>
      <c r="F3" s="3" t="s">
        <v>1072</v>
      </c>
      <c r="G3" s="3" t="s">
        <v>1073</v>
      </c>
      <c r="H3" s="3" t="s">
        <v>1074</v>
      </c>
      <c r="I3" s="193" t="s">
        <v>1075</v>
      </c>
      <c r="J3" s="193" t="s">
        <v>1076</v>
      </c>
      <c r="K3" s="193" t="s">
        <v>1077</v>
      </c>
      <c r="L3" s="193" t="s">
        <v>1078</v>
      </c>
      <c r="M3" s="193" t="s">
        <v>1079</v>
      </c>
      <c r="N3" s="193" t="s">
        <v>1121</v>
      </c>
      <c r="O3" s="3" t="s">
        <v>38</v>
      </c>
      <c r="P3" s="3" t="s">
        <v>39</v>
      </c>
      <c r="Q3" s="3" t="s">
        <v>57</v>
      </c>
      <c r="R3" s="3" t="s">
        <v>58</v>
      </c>
      <c r="S3" s="3" t="s">
        <v>622</v>
      </c>
      <c r="T3" s="3" t="s">
        <v>59</v>
      </c>
      <c r="U3" s="3" t="s">
        <v>60</v>
      </c>
      <c r="V3" s="3" t="s">
        <v>61</v>
      </c>
      <c r="W3" s="3" t="s">
        <v>1456</v>
      </c>
      <c r="X3" s="3" t="s">
        <v>62</v>
      </c>
      <c r="Y3" s="12" t="s">
        <v>630</v>
      </c>
      <c r="Z3" s="12" t="s">
        <v>63</v>
      </c>
      <c r="AA3" s="12" t="s">
        <v>804</v>
      </c>
      <c r="AB3" s="14" t="s">
        <v>64</v>
      </c>
      <c r="AC3" s="15" t="s">
        <v>65</v>
      </c>
      <c r="AD3" s="15" t="s">
        <v>66</v>
      </c>
      <c r="AE3" s="15" t="s">
        <v>67</v>
      </c>
      <c r="AF3" s="13" t="s">
        <v>68</v>
      </c>
      <c r="AG3" s="3" t="s">
        <v>69</v>
      </c>
      <c r="AH3" s="3" t="s">
        <v>70</v>
      </c>
      <c r="AI3" s="3" t="s">
        <v>71</v>
      </c>
      <c r="AJ3" s="30" t="s">
        <v>1062</v>
      </c>
      <c r="AK3" s="30" t="s">
        <v>1064</v>
      </c>
      <c r="AL3" s="30" t="s">
        <v>72</v>
      </c>
      <c r="AM3" s="4" t="s">
        <v>73</v>
      </c>
      <c r="AN3" s="4" t="s">
        <v>74</v>
      </c>
      <c r="AO3" s="4" t="s">
        <v>75</v>
      </c>
      <c r="AP3" s="4" t="s">
        <v>1457</v>
      </c>
      <c r="AQ3" s="4" t="s">
        <v>790</v>
      </c>
      <c r="AR3" s="4" t="s">
        <v>814</v>
      </c>
      <c r="AS3" s="12" t="s">
        <v>815</v>
      </c>
      <c r="AT3" s="12" t="s">
        <v>76</v>
      </c>
      <c r="AU3" s="12" t="s">
        <v>805</v>
      </c>
      <c r="AV3" s="14" t="s">
        <v>77</v>
      </c>
      <c r="AW3" s="15" t="s">
        <v>78</v>
      </c>
      <c r="AX3" s="15" t="s">
        <v>79</v>
      </c>
      <c r="AY3" s="15" t="s">
        <v>80</v>
      </c>
      <c r="AZ3" s="13" t="s">
        <v>81</v>
      </c>
      <c r="BA3" s="4" t="s">
        <v>82</v>
      </c>
      <c r="BB3" s="4" t="s">
        <v>83</v>
      </c>
      <c r="BC3" s="172" t="s">
        <v>84</v>
      </c>
      <c r="BD3" s="172" t="s">
        <v>863</v>
      </c>
      <c r="BE3" s="172" t="s">
        <v>85</v>
      </c>
      <c r="BF3" s="172" t="s">
        <v>867</v>
      </c>
      <c r="BG3" s="172" t="s">
        <v>868</v>
      </c>
      <c r="BH3" s="172" t="s">
        <v>156</v>
      </c>
      <c r="BI3" s="195" t="s">
        <v>1099</v>
      </c>
      <c r="BJ3" s="195" t="s">
        <v>1100</v>
      </c>
      <c r="BK3" s="195" t="s">
        <v>1101</v>
      </c>
      <c r="BL3" s="195" t="s">
        <v>1102</v>
      </c>
      <c r="BM3" s="195" t="s">
        <v>1103</v>
      </c>
      <c r="BN3" s="195" t="s">
        <v>1104</v>
      </c>
      <c r="BO3" s="195" t="s">
        <v>1105</v>
      </c>
      <c r="BP3" s="195" t="s">
        <v>1106</v>
      </c>
      <c r="BQ3" s="195" t="s">
        <v>1107</v>
      </c>
    </row>
    <row r="4" spans="1:69" ht="157.5" x14ac:dyDescent="0.65">
      <c r="A4" s="160">
        <v>1</v>
      </c>
      <c r="B4" s="160" t="s">
        <v>899</v>
      </c>
      <c r="C4" s="19" t="s">
        <v>1016</v>
      </c>
      <c r="D4" s="28" t="s">
        <v>1123</v>
      </c>
      <c r="E4" s="207" t="s">
        <v>1089</v>
      </c>
      <c r="F4" s="194" t="s">
        <v>117</v>
      </c>
      <c r="G4" s="194" t="s">
        <v>117</v>
      </c>
      <c r="H4" s="194" t="s">
        <v>117</v>
      </c>
      <c r="I4" s="194" t="s">
        <v>1080</v>
      </c>
      <c r="J4" s="194" t="s">
        <v>1080</v>
      </c>
      <c r="K4" s="194" t="s">
        <v>1080</v>
      </c>
      <c r="L4" s="194" t="s">
        <v>1080</v>
      </c>
      <c r="M4" s="194" t="s">
        <v>1080</v>
      </c>
      <c r="N4" s="194">
        <f>COUNTIF(tblRisk[[#This Row],[Defends Against Malware]:[Defends Against Targeted Intrusions]],"Yes")</f>
        <v>0</v>
      </c>
      <c r="O4" s="160" t="s">
        <v>17</v>
      </c>
      <c r="P4" s="160" t="s">
        <v>86</v>
      </c>
      <c r="Q4" s="160" t="s">
        <v>611</v>
      </c>
      <c r="R4" s="160" t="s">
        <v>1082</v>
      </c>
      <c r="S4" s="160" t="s">
        <v>1087</v>
      </c>
      <c r="T4" s="160" t="s">
        <v>1409</v>
      </c>
      <c r="U4" s="160" t="s">
        <v>1410</v>
      </c>
      <c r="V4" s="19" t="s">
        <v>1649</v>
      </c>
      <c r="W4" s="19" t="s">
        <v>1709</v>
      </c>
      <c r="X4" s="19" t="s">
        <v>1710</v>
      </c>
      <c r="Y4" s="151">
        <f>IF(ISBLANK(tblRisk[[#This Row],[Threat Cluster]]),"",_xlfn.XLOOKUP(tblRisk[[#This Row],[Threat Cluster]],tblHIT[Threat Cluster],tblHIT[Quintile]))</f>
        <v>3</v>
      </c>
      <c r="Z4" s="152">
        <v>4</v>
      </c>
      <c r="AA4" s="153" t="str">
        <f>IF(OR(ISBLANK(tblRisk[[#This Row],[HIT Quintile]]),ISBLANK(tblRisk[[#This Row],[Control Maturity]])),"",_xlfn.XLOOKUP(tblRisk[[#This Row],[Control Maturity]] &amp; tblRisk[[#This Row],[HIT Quintile]],tblHITWDI[Lookup],tblHITWDI[Likelihood Description]))</f>
        <v>Foreseeable, not expected</v>
      </c>
      <c r="AB4" s="161">
        <f>IF(ISERROR(tblRisk[[#This Row],[Likelihood of Control Failure]]),"",VLOOKUP(tblRisk[[#This Row],[Likelihood of Control Failure]],tblLikelihood[],2,FALSE))</f>
        <v>2</v>
      </c>
      <c r="AC4" s="154">
        <v>1</v>
      </c>
      <c r="AD4" s="155">
        <v>1</v>
      </c>
      <c r="AE4" s="155">
        <v>2</v>
      </c>
      <c r="AF4" s="162">
        <f>IF(ISBLANK(tblRisk[[#This Row],[Impact to Mission]]),"",MAX(tblRisk[[#This Row],[Impact to Mission]:[Impact to Obligations]]))</f>
        <v>2</v>
      </c>
      <c r="AG4" s="163">
        <f>IF(ISERROR(tblRisk[[#This Row],[Impact Score]]*tblRisk[[#This Row],[Likelihood Score]]),"",tblRisk[[#This Row],[Likelihood Score]]*tblRisk[[#This Row],[Impact Score]])</f>
        <v>4</v>
      </c>
      <c r="AH4" s="163">
        <f>tblRisk[[#This Row],[Risk Score]]</f>
        <v>4</v>
      </c>
      <c r="AI4" s="164">
        <f t="shared" ref="AI4:AI17" si="0">valALR</f>
        <v>9</v>
      </c>
      <c r="AJ4" s="164">
        <f>IF(tblRisk[[#This Row],[Safeguard Status]]="In Place",tblRisk[[#This Row],[Control Maturity after SG]],tblRisk[[#This Row],[Control Maturity]])</f>
        <v>4</v>
      </c>
      <c r="AK4" s="173" t="str">
        <f>IF(tblRisk[[#This Row],[Safeguard Status]]="In Place",tblRisk[[#This Row],[Safeguard Threat Cluster]],tblRisk[[#This Row],[Threat Cluster]])</f>
        <v>Physical Facility</v>
      </c>
      <c r="AL4" s="164">
        <f>IF(tblRisk[[#This Row],[Safeguard Status]]="In Place",tblRisk[[#This Row],[Risk Level With Safeguard in Place]],tblRisk[[#This Row],[Risk Level]])</f>
        <v>4</v>
      </c>
      <c r="AM4" s="165" t="s">
        <v>1887</v>
      </c>
      <c r="AN4" s="165" t="str">
        <f>IF(tblRisk[[#This Row],[Risk Treatment Option]]="Manage",_xlfn.IFNA(INDEX(tblRiskTreatmentPrograms[#Data],MATCH(tblRisk[[#This Row],[Common Security Program]]&amp;tblRisk[[#This Row],[Common Security Control]],tblRiskTreatmentPrograms[Lookup],0),MATCH($AN$3,tblRiskTreatmentPrograms[#Headers],0)),txtBadRTP),"")</f>
        <v/>
      </c>
      <c r="AO4" s="165" t="str">
        <f>IF(tblRisk[[#This Row],[Risk Treatment Program]]="","",INDEX(tblRiskTreatmentPrograms[#Data],MATCH(tblRisk[[#This Row],[Risk Treatment Program]],tblRiskTreatmentPrograms[Risk Treatment Program],0),MATCH($AO$3,tblRiskTreatmentPrograms[#Headers],0)))</f>
        <v/>
      </c>
      <c r="AP4" s="77"/>
      <c r="AQ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 s="19" t="str">
        <f>tblRisk[[#This Row],[Threat Cluster]]</f>
        <v>Physical Facility</v>
      </c>
      <c r="AS4" s="156">
        <f>IF(ISBLANK(tblRisk[[#This Row],[Safeguard Threat Cluster]]),"",_xlfn.XLOOKUP(tblRisk[[#This Row],[Safeguard Threat Cluster]],tblHIT[Threat Cluster],tblHIT[Quintile]))</f>
        <v>3</v>
      </c>
      <c r="AT4" s="157">
        <f>_xlfn.SWITCH(tblRisk[[#This Row],[Risk Treatment Option]],"Manage",tblRisk[[#This Row],[Control Maturity]]+1,tblRisk[[#This Row],[Control Maturity]])</f>
        <v>4</v>
      </c>
      <c r="AU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 s="166">
        <f>IF(ISERROR(tblRisk[[#This Row],[Likelihood of Control Failure after SG]]),"",VLOOKUP(tblRisk[[#This Row],[Likelihood of Control Failure after SG]],tblLikelihood[#Data],2,FALSE))</f>
        <v>2</v>
      </c>
      <c r="AW4" s="159">
        <f>tblRisk[[#This Row],[Impact to Mission]]</f>
        <v>1</v>
      </c>
      <c r="AX4" s="159">
        <f>tblRisk[[#This Row],[Impact to Objectives]]</f>
        <v>1</v>
      </c>
      <c r="AY4" s="159">
        <f>tblRisk[[#This Row],[Impact to Obligations]]</f>
        <v>2</v>
      </c>
      <c r="AZ4" s="166">
        <f>IF(ISBLANK(tblRisk[[#This Row],[Impact to Mission With Safeguard in Place]]),"",MAX(tblRisk[[#This Row],[Impact to Mission With Safeguard in Place]:[Impact to Obligations With Safeguard in Place]]))</f>
        <v>2</v>
      </c>
      <c r="BA4" s="167">
        <f>IF(ISERROR(tblRisk[[#This Row],[Impact Score with Safeguard in Place]]*tblRisk[[#This Row],[Likelihood Score with Safeguard in Place]]),"",tblRisk[[#This Row],[Impact Score with Safeguard in Place]]*tblRisk[[#This Row],[Likelihood Score with Safeguard in Place]])</f>
        <v>4</v>
      </c>
      <c r="BB4" s="164">
        <f>tblRisk[[#This Row],[Risk Score With Safeguard in Place]]</f>
        <v>4</v>
      </c>
      <c r="BC4" s="168" t="str">
        <f>IF(tblRisk[[#This Row],[Risk Treatment Option]]&lt;&gt;"Accept",IF(_xlfn.XLOOKUP(tblRisk[[#This Row],[Specific Safeguard Recommendation]],ProTrak[Task],ProTrak[Status],"Not Found")="Completed","Pending Validation","Pending"),"")</f>
        <v/>
      </c>
      <c r="BD4" s="169" t="str">
        <f>_xlfn.XLOOKUP(tblRisk[[#This Row],[Risk Treatment Program]],tblRiskTreatmentPrograms[Risk Treatment Program],tblRiskTreatmentPrograms[Estimated End Date (MM/DD/YYYY)],"")</f>
        <v/>
      </c>
      <c r="BE4" s="170"/>
      <c r="BF4" s="171" t="str">
        <f>_xlfn.IFNA(IF(tblRisk[[#This Row],[Due Date]]&lt;=vWhatIfQuarter,"Closed",""),"")</f>
        <v/>
      </c>
      <c r="BG4" s="171">
        <f>IF(tblRisk[[#This Row],[Scenario Builder Status]]="Closed",tblRisk[[#This Row],[Risk Score With Safeguard in Place]],tblRisk[[#This Row],[Risk Score]])</f>
        <v>4</v>
      </c>
      <c r="BH4" s="192" t="str">
        <f>tblRisk[[#This Row],[Common Security Program]]&amp;tblRisk[[#This Row],[Common Security Control]]&amp;tblRisk[[#This Row],[Asset Designation ]]</f>
        <v>Asset ManagementGovernanceDevices</v>
      </c>
      <c r="BI4" s="191"/>
      <c r="BJ4" s="191"/>
      <c r="BK4" s="191"/>
      <c r="BL4" s="191"/>
      <c r="BM4" s="191"/>
      <c r="BN4" s="191"/>
      <c r="BO4" s="191"/>
      <c r="BP4" s="191"/>
      <c r="BQ4" s="191"/>
    </row>
    <row r="5" spans="1:69" ht="126" x14ac:dyDescent="0.65">
      <c r="A5" s="160">
        <v>2</v>
      </c>
      <c r="B5" s="160" t="s">
        <v>899</v>
      </c>
      <c r="C5" s="19" t="s">
        <v>900</v>
      </c>
      <c r="D5" s="28" t="s">
        <v>1124</v>
      </c>
      <c r="E5" s="207" t="s">
        <v>1090</v>
      </c>
      <c r="F5" s="194" t="s">
        <v>117</v>
      </c>
      <c r="G5" s="194" t="s">
        <v>117</v>
      </c>
      <c r="H5" s="194" t="s">
        <v>117</v>
      </c>
      <c r="I5" s="194" t="s">
        <v>1080</v>
      </c>
      <c r="J5" s="194" t="s">
        <v>1080</v>
      </c>
      <c r="K5" s="194" t="s">
        <v>1080</v>
      </c>
      <c r="L5" s="194" t="s">
        <v>1080</v>
      </c>
      <c r="M5" s="194" t="s">
        <v>1080</v>
      </c>
      <c r="N5" s="194">
        <f>COUNTIF(tblRisk[[#This Row],[Defends Against Malware]:[Defends Against Targeted Intrusions]],"Yes")</f>
        <v>0</v>
      </c>
      <c r="O5" s="160" t="s">
        <v>17</v>
      </c>
      <c r="P5" s="160" t="s">
        <v>88</v>
      </c>
      <c r="Q5" s="160" t="s">
        <v>30</v>
      </c>
      <c r="R5" s="160" t="s">
        <v>1082</v>
      </c>
      <c r="S5" s="160" t="s">
        <v>1413</v>
      </c>
      <c r="T5" s="160" t="s">
        <v>1411</v>
      </c>
      <c r="U5" s="160" t="s">
        <v>1412</v>
      </c>
      <c r="V5" s="19" t="s">
        <v>1565</v>
      </c>
      <c r="W5" s="160" t="s">
        <v>1709</v>
      </c>
      <c r="X5" s="160" t="s">
        <v>1711</v>
      </c>
      <c r="Y5" s="151">
        <f>IF(ISBLANK(tblRisk[[#This Row],[Threat Cluster]]),"",_xlfn.XLOOKUP(tblRisk[[#This Row],[Threat Cluster]],tblHIT[Threat Cluster],tblHIT[Quintile]))</f>
        <v>2</v>
      </c>
      <c r="Z5" s="152">
        <v>5</v>
      </c>
      <c r="AA5" s="153" t="str">
        <f>IF(OR(ISBLANK(tblRisk[[#This Row],[HIT Quintile]]),ISBLANK(tblRisk[[#This Row],[Control Maturity]])),"",_xlfn.XLOOKUP(tblRisk[[#This Row],[Control Maturity]] &amp; tblRisk[[#This Row],[HIT Quintile]],tblHITWDI[Lookup],tblHITWDI[Likelihood Description]))</f>
        <v>Not Foreseeable</v>
      </c>
      <c r="AB5" s="161">
        <f>IF(ISERROR(tblRisk[[#This Row],[Likelihood of Control Failure]]),"",VLOOKUP(tblRisk[[#This Row],[Likelihood of Control Failure]],tblLikelihood[],2,FALSE))</f>
        <v>1</v>
      </c>
      <c r="AC5" s="154">
        <v>1</v>
      </c>
      <c r="AD5" s="155">
        <v>1</v>
      </c>
      <c r="AE5" s="155">
        <v>2</v>
      </c>
      <c r="AF5" s="162">
        <f>IF(ISBLANK(tblRisk[[#This Row],[Impact to Mission]]),"",MAX(tblRisk[[#This Row],[Impact to Mission]:[Impact to Obligations]]))</f>
        <v>2</v>
      </c>
      <c r="AG5" s="163">
        <f>IF(ISERROR(tblRisk[[#This Row],[Impact Score]]*tblRisk[[#This Row],[Likelihood Score]]),"",tblRisk[[#This Row],[Likelihood Score]]*tblRisk[[#This Row],[Impact Score]])</f>
        <v>2</v>
      </c>
      <c r="AH5" s="163">
        <f>tblRisk[[#This Row],[Risk Score]]</f>
        <v>2</v>
      </c>
      <c r="AI5" s="164">
        <f t="shared" si="0"/>
        <v>9</v>
      </c>
      <c r="AJ5" s="164">
        <f>IF(tblRisk[[#This Row],[Safeguard Status]]="In Place",tblRisk[[#This Row],[Control Maturity after SG]],tblRisk[[#This Row],[Control Maturity]])</f>
        <v>5</v>
      </c>
      <c r="AK5" s="173" t="str">
        <f>IF(tblRisk[[#This Row],[Safeguard Status]]="In Place",tblRisk[[#This Row],[Safeguard Threat Cluster]],tblRisk[[#This Row],[Threat Cluster]])</f>
        <v>Hacking System</v>
      </c>
      <c r="AL5" s="164">
        <f>IF(tblRisk[[#This Row],[Safeguard Status]]="In Place",tblRisk[[#This Row],[Risk Level With Safeguard in Place]],tblRisk[[#This Row],[Risk Level]])</f>
        <v>2</v>
      </c>
      <c r="AM5" s="165" t="s">
        <v>1887</v>
      </c>
      <c r="AN5" s="165" t="str">
        <f>IF(tblRisk[[#This Row],[Risk Treatment Option]]="Manage",_xlfn.IFNA(INDEX(tblRiskTreatmentPrograms[#Data],MATCH(tblRisk[[#This Row],[Common Security Program]]&amp;tblRisk[[#This Row],[Common Security Control]],tblRiskTreatmentPrograms[Lookup],0),MATCH($AN$3,tblRiskTreatmentPrograms[#Headers],0)),txtBadRTP),"")</f>
        <v/>
      </c>
      <c r="AO5" s="165" t="str">
        <f>IF(tblRisk[[#This Row],[Risk Treatment Program]]="","",INDEX(tblRiskTreatmentPrograms[#Data],MATCH(tblRisk[[#This Row],[Risk Treatment Program]],tblRiskTreatmentPrograms[Risk Treatment Program],0),MATCH($AO$3,tblRiskTreatmentPrograms[#Headers],0)))</f>
        <v/>
      </c>
      <c r="AP5" s="165"/>
      <c r="AQ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 s="19" t="str">
        <f>tblRisk[[#This Row],[Threat Cluster]]</f>
        <v>Hacking System</v>
      </c>
      <c r="AS5" s="156">
        <f>IF(ISBLANK(tblRisk[[#This Row],[Safeguard Threat Cluster]]),"",_xlfn.XLOOKUP(tblRisk[[#This Row],[Safeguard Threat Cluster]],tblHIT[Threat Cluster],tblHIT[Quintile]))</f>
        <v>2</v>
      </c>
      <c r="AT5" s="157">
        <f>_xlfn.SWITCH(tblRisk[[#This Row],[Risk Treatment Option]],"Manage",tblRisk[[#This Row],[Control Maturity]]+1,tblRisk[[#This Row],[Control Maturity]])</f>
        <v>5</v>
      </c>
      <c r="AU5" s="158" t="str">
        <f>IF(OR(ISBLANK(tblRisk[[#This Row],[Safeguard HIT Quintile]]),ISBLANK(tblRisk[[#This Row],[Control Maturity after SG]])),"",_xlfn.XLOOKUP(tblRisk[[#This Row],[Control Maturity after SG]] &amp;tblRisk[[#This Row],[Safeguard HIT Quintile]],tblHITWDI[Lookup],tblHITWDI[Likelihood Description]))</f>
        <v>Not Foreseeable</v>
      </c>
      <c r="AV5" s="166">
        <f>IF(ISERROR(tblRisk[[#This Row],[Likelihood of Control Failure after SG]]),"",VLOOKUP(tblRisk[[#This Row],[Likelihood of Control Failure after SG]],tblLikelihood[#Data],2,FALSE))</f>
        <v>1</v>
      </c>
      <c r="AW5" s="159">
        <f>tblRisk[[#This Row],[Impact to Mission]]</f>
        <v>1</v>
      </c>
      <c r="AX5" s="159">
        <f>tblRisk[[#This Row],[Impact to Objectives]]</f>
        <v>1</v>
      </c>
      <c r="AY5" s="159">
        <f>tblRisk[[#This Row],[Impact to Obligations]]</f>
        <v>2</v>
      </c>
      <c r="AZ5" s="166">
        <f>IF(ISBLANK(tblRisk[[#This Row],[Impact to Mission With Safeguard in Place]]),"",MAX(tblRisk[[#This Row],[Impact to Mission With Safeguard in Place]:[Impact to Obligations With Safeguard in Place]]))</f>
        <v>2</v>
      </c>
      <c r="BA5" s="167">
        <f>IF(ISERROR(tblRisk[[#This Row],[Impact Score with Safeguard in Place]]*tblRisk[[#This Row],[Likelihood Score with Safeguard in Place]]),"",tblRisk[[#This Row],[Impact Score with Safeguard in Place]]*tblRisk[[#This Row],[Likelihood Score with Safeguard in Place]])</f>
        <v>2</v>
      </c>
      <c r="BB5" s="164">
        <f>tblRisk[[#This Row],[Risk Score With Safeguard in Place]]</f>
        <v>2</v>
      </c>
      <c r="BC5" s="168" t="str">
        <f>IF(tblRisk[[#This Row],[Risk Treatment Option]]&lt;&gt;"Accept",IF(_xlfn.XLOOKUP(tblRisk[[#This Row],[Specific Safeguard Recommendation]],ProTrak[Task],ProTrak[Status],"Not Found")="Completed","Pending Validation","Pending"),"")</f>
        <v/>
      </c>
      <c r="BD5" s="169" t="str">
        <f>_xlfn.XLOOKUP(tblRisk[[#This Row],[Risk Treatment Program]],tblRiskTreatmentPrograms[Risk Treatment Program],tblRiskTreatmentPrograms[Estimated End Date (MM/DD/YYYY)],"")</f>
        <v/>
      </c>
      <c r="BE5" s="170"/>
      <c r="BF5" s="171" t="str">
        <f>_xlfn.IFNA(IF(tblRisk[[#This Row],[Due Date]]&lt;=vWhatIfQuarter,"Closed",""),"")</f>
        <v/>
      </c>
      <c r="BG5" s="171">
        <f>IF(tblRisk[[#This Row],[Scenario Builder Status]]="Closed",tblRisk[[#This Row],[Risk Score With Safeguard in Place]],tblRisk[[#This Row],[Risk Score]])</f>
        <v>2</v>
      </c>
      <c r="BH5" s="192" t="str">
        <f>tblRisk[[#This Row],[Common Security Program]]&amp;tblRisk[[#This Row],[Common Security Control]]&amp;tblRisk[[#This Row],[Asset Designation ]]</f>
        <v>Asset ManagementOperationDevices</v>
      </c>
      <c r="BI5" s="191"/>
      <c r="BJ5" s="191"/>
      <c r="BK5" s="191"/>
      <c r="BL5" s="191"/>
      <c r="BM5" s="191"/>
      <c r="BN5" s="191"/>
      <c r="BO5" s="191"/>
      <c r="BP5" s="191"/>
      <c r="BQ5" s="191"/>
    </row>
    <row r="6" spans="1:69" ht="94.5" x14ac:dyDescent="0.65">
      <c r="A6" s="160">
        <v>3</v>
      </c>
      <c r="B6" s="160" t="s">
        <v>899</v>
      </c>
      <c r="C6" s="19" t="s">
        <v>901</v>
      </c>
      <c r="D6" s="28" t="s">
        <v>1125</v>
      </c>
      <c r="E6" s="207" t="s">
        <v>1091</v>
      </c>
      <c r="F6" s="194"/>
      <c r="G6" s="194" t="s">
        <v>117</v>
      </c>
      <c r="H6" s="194" t="s">
        <v>117</v>
      </c>
      <c r="I6" s="194" t="s">
        <v>1080</v>
      </c>
      <c r="J6" s="194" t="s">
        <v>1080</v>
      </c>
      <c r="K6" s="194" t="s">
        <v>1080</v>
      </c>
      <c r="L6" s="194" t="s">
        <v>1080</v>
      </c>
      <c r="M6" s="194" t="s">
        <v>1080</v>
      </c>
      <c r="N6" s="194">
        <f>COUNTIF(tblRisk[[#This Row],[Defends Against Malware]:[Defends Against Targeted Intrusions]],"Yes")</f>
        <v>0</v>
      </c>
      <c r="O6" s="160" t="s">
        <v>17</v>
      </c>
      <c r="P6" s="160" t="s">
        <v>88</v>
      </c>
      <c r="Q6" s="160" t="s">
        <v>30</v>
      </c>
      <c r="R6" s="160" t="s">
        <v>1082</v>
      </c>
      <c r="S6" s="160" t="s">
        <v>1413</v>
      </c>
      <c r="T6" s="160" t="s">
        <v>1411</v>
      </c>
      <c r="U6" s="160" t="s">
        <v>1412</v>
      </c>
      <c r="V6" s="160" t="s">
        <v>1566</v>
      </c>
      <c r="W6" s="160" t="s">
        <v>1709</v>
      </c>
      <c r="X6" s="160" t="s">
        <v>1712</v>
      </c>
      <c r="Y6" s="151">
        <f>IF(ISBLANK(tblRisk[[#This Row],[Threat Cluster]]),"",_xlfn.XLOOKUP(tblRisk[[#This Row],[Threat Cluster]],tblHIT[Threat Cluster],tblHIT[Quintile]))</f>
        <v>2</v>
      </c>
      <c r="Z6" s="152">
        <v>5</v>
      </c>
      <c r="AA6" s="153" t="str">
        <f>IF(OR(ISBLANK(tblRisk[[#This Row],[HIT Quintile]]),ISBLANK(tblRisk[[#This Row],[Control Maturity]])),"",_xlfn.XLOOKUP(tblRisk[[#This Row],[Control Maturity]] &amp; tblRisk[[#This Row],[HIT Quintile]],tblHITWDI[Lookup],tblHITWDI[Likelihood Description]))</f>
        <v>Not Foreseeable</v>
      </c>
      <c r="AB6" s="161">
        <f>IF(ISERROR(tblRisk[[#This Row],[Likelihood of Control Failure]]),"",VLOOKUP(tblRisk[[#This Row],[Likelihood of Control Failure]],tblLikelihood[],2,FALSE))</f>
        <v>1</v>
      </c>
      <c r="AC6" s="154">
        <v>1</v>
      </c>
      <c r="AD6" s="155">
        <v>1</v>
      </c>
      <c r="AE6" s="155">
        <v>2</v>
      </c>
      <c r="AF6" s="162">
        <f>IF(ISBLANK(tblRisk[[#This Row],[Impact to Mission]]),"",MAX(tblRisk[[#This Row],[Impact to Mission]:[Impact to Obligations]]))</f>
        <v>2</v>
      </c>
      <c r="AG6" s="163">
        <f>IF(ISERROR(tblRisk[[#This Row],[Impact Score]]*tblRisk[[#This Row],[Likelihood Score]]),"",tblRisk[[#This Row],[Likelihood Score]]*tblRisk[[#This Row],[Impact Score]])</f>
        <v>2</v>
      </c>
      <c r="AH6" s="163">
        <f>tblRisk[[#This Row],[Risk Score]]</f>
        <v>2</v>
      </c>
      <c r="AI6" s="164">
        <f t="shared" si="0"/>
        <v>9</v>
      </c>
      <c r="AJ6" s="164">
        <f>IF(tblRisk[[#This Row],[Safeguard Status]]="In Place",tblRisk[[#This Row],[Control Maturity after SG]],tblRisk[[#This Row],[Control Maturity]])</f>
        <v>5</v>
      </c>
      <c r="AK6" s="173" t="str">
        <f>IF(tblRisk[[#This Row],[Safeguard Status]]="In Place",tblRisk[[#This Row],[Safeguard Threat Cluster]],tblRisk[[#This Row],[Threat Cluster]])</f>
        <v>Hacking System</v>
      </c>
      <c r="AL6" s="164">
        <f>IF(tblRisk[[#This Row],[Safeguard Status]]="In Place",tblRisk[[#This Row],[Risk Level With Safeguard in Place]],tblRisk[[#This Row],[Risk Level]])</f>
        <v>2</v>
      </c>
      <c r="AM6" s="165" t="s">
        <v>1887</v>
      </c>
      <c r="AN6" s="165" t="str">
        <f>IF(tblRisk[[#This Row],[Risk Treatment Option]]="Manage",_xlfn.IFNA(INDEX(tblRiskTreatmentPrograms[#Data],MATCH(tblRisk[[#This Row],[Common Security Program]]&amp;tblRisk[[#This Row],[Common Security Control]],tblRiskTreatmentPrograms[Lookup],0),MATCH($AN$3,tblRiskTreatmentPrograms[#Headers],0)),txtBadRTP),"")</f>
        <v/>
      </c>
      <c r="AO6" s="165" t="str">
        <f>IF(tblRisk[[#This Row],[Risk Treatment Program]]="","",INDEX(tblRiskTreatmentPrograms[#Data],MATCH(tblRisk[[#This Row],[Risk Treatment Program]],tblRiskTreatmentPrograms[Risk Treatment Program],0),MATCH($AO$3,tblRiskTreatmentPrograms[#Headers],0)))</f>
        <v/>
      </c>
      <c r="AP6" s="165"/>
      <c r="AQ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 s="19" t="str">
        <f>tblRisk[[#This Row],[Threat Cluster]]</f>
        <v>Hacking System</v>
      </c>
      <c r="AS6" s="156">
        <f>IF(ISBLANK(tblRisk[[#This Row],[Safeguard Threat Cluster]]),"",_xlfn.XLOOKUP(tblRisk[[#This Row],[Safeguard Threat Cluster]],tblHIT[Threat Cluster],tblHIT[Quintile]))</f>
        <v>2</v>
      </c>
      <c r="AT6" s="157">
        <f>_xlfn.SWITCH(tblRisk[[#This Row],[Risk Treatment Option]],"Manage",tblRisk[[#This Row],[Control Maturity]]+1,tblRisk[[#This Row],[Control Maturity]])</f>
        <v>5</v>
      </c>
      <c r="AU6" s="158" t="str">
        <f>IF(OR(ISBLANK(tblRisk[[#This Row],[Safeguard HIT Quintile]]),ISBLANK(tblRisk[[#This Row],[Control Maturity after SG]])),"",_xlfn.XLOOKUP(tblRisk[[#This Row],[Control Maturity after SG]] &amp;tblRisk[[#This Row],[Safeguard HIT Quintile]],tblHITWDI[Lookup],tblHITWDI[Likelihood Description]))</f>
        <v>Not Foreseeable</v>
      </c>
      <c r="AV6" s="166">
        <f>IF(ISERROR(tblRisk[[#This Row],[Likelihood of Control Failure after SG]]),"",VLOOKUP(tblRisk[[#This Row],[Likelihood of Control Failure after SG]],tblLikelihood[#Data],2,FALSE))</f>
        <v>1</v>
      </c>
      <c r="AW6" s="159">
        <f>tblRisk[[#This Row],[Impact to Mission]]</f>
        <v>1</v>
      </c>
      <c r="AX6" s="159">
        <f>tblRisk[[#This Row],[Impact to Objectives]]</f>
        <v>1</v>
      </c>
      <c r="AY6" s="159">
        <f>tblRisk[[#This Row],[Impact to Obligations]]</f>
        <v>2</v>
      </c>
      <c r="AZ6" s="166">
        <f>IF(ISBLANK(tblRisk[[#This Row],[Impact to Mission With Safeguard in Place]]),"",MAX(tblRisk[[#This Row],[Impact to Mission With Safeguard in Place]:[Impact to Obligations With Safeguard in Place]]))</f>
        <v>2</v>
      </c>
      <c r="BA6" s="167">
        <f>IF(ISERROR(tblRisk[[#This Row],[Impact Score with Safeguard in Place]]*tblRisk[[#This Row],[Likelihood Score with Safeguard in Place]]),"",tblRisk[[#This Row],[Impact Score with Safeguard in Place]]*tblRisk[[#This Row],[Likelihood Score with Safeguard in Place]])</f>
        <v>2</v>
      </c>
      <c r="BB6" s="164">
        <f>tblRisk[[#This Row],[Risk Score With Safeguard in Place]]</f>
        <v>2</v>
      </c>
      <c r="BC6" s="168" t="str">
        <f>IF(tblRisk[[#This Row],[Risk Treatment Option]]&lt;&gt;"Accept",IF(_xlfn.XLOOKUP(tblRisk[[#This Row],[Specific Safeguard Recommendation]],ProTrak[Task],ProTrak[Status],"Not Found")="Completed","Pending Validation","Pending"),"")</f>
        <v/>
      </c>
      <c r="BD6" s="169" t="str">
        <f>_xlfn.XLOOKUP(tblRisk[[#This Row],[Risk Treatment Program]],tblRiskTreatmentPrograms[Risk Treatment Program],tblRiskTreatmentPrograms[Estimated End Date (MM/DD/YYYY)],"")</f>
        <v/>
      </c>
      <c r="BE6" s="170"/>
      <c r="BF6" s="171" t="str">
        <f>_xlfn.IFNA(IF(tblRisk[[#This Row],[Due Date]]&lt;=vWhatIfQuarter,"Closed",""),"")</f>
        <v/>
      </c>
      <c r="BG6" s="171">
        <f>IF(tblRisk[[#This Row],[Scenario Builder Status]]="Closed",tblRisk[[#This Row],[Risk Score With Safeguard in Place]],tblRisk[[#This Row],[Risk Score]])</f>
        <v>2</v>
      </c>
      <c r="BH6" s="192" t="str">
        <f>tblRisk[[#This Row],[Common Security Program]]&amp;tblRisk[[#This Row],[Common Security Control]]&amp;tblRisk[[#This Row],[Asset Designation ]]</f>
        <v>Asset ManagementOperationDevices</v>
      </c>
      <c r="BI6" s="191"/>
      <c r="BJ6" s="191"/>
      <c r="BK6" s="191"/>
      <c r="BL6" s="191"/>
      <c r="BM6" s="191"/>
      <c r="BN6" s="191"/>
      <c r="BO6" s="191"/>
      <c r="BP6" s="191"/>
      <c r="BQ6" s="191"/>
    </row>
    <row r="7" spans="1:69" ht="78.75" x14ac:dyDescent="0.65">
      <c r="A7" s="160">
        <v>4</v>
      </c>
      <c r="B7" s="160" t="s">
        <v>899</v>
      </c>
      <c r="C7" s="19" t="s">
        <v>902</v>
      </c>
      <c r="D7" s="28" t="s">
        <v>1126</v>
      </c>
      <c r="E7" s="207" t="s">
        <v>1089</v>
      </c>
      <c r="F7" s="194"/>
      <c r="G7" s="194" t="s">
        <v>117</v>
      </c>
      <c r="H7" s="194" t="s">
        <v>117</v>
      </c>
      <c r="I7" s="194" t="s">
        <v>1080</v>
      </c>
      <c r="J7" s="194" t="s">
        <v>1080</v>
      </c>
      <c r="K7" s="194" t="s">
        <v>1080</v>
      </c>
      <c r="L7" s="194" t="s">
        <v>1080</v>
      </c>
      <c r="M7" s="194" t="s">
        <v>1080</v>
      </c>
      <c r="N7" s="194">
        <f>COUNTIF(tblRisk[[#This Row],[Defends Against Malware]:[Defends Against Targeted Intrusions]],"Yes")</f>
        <v>0</v>
      </c>
      <c r="O7" s="160" t="s">
        <v>17</v>
      </c>
      <c r="P7" s="160" t="s">
        <v>88</v>
      </c>
      <c r="Q7" s="160" t="s">
        <v>611</v>
      </c>
      <c r="R7" s="160" t="s">
        <v>1082</v>
      </c>
      <c r="S7" s="160" t="s">
        <v>1413</v>
      </c>
      <c r="T7" s="160" t="s">
        <v>1411</v>
      </c>
      <c r="U7" s="160" t="s">
        <v>1412</v>
      </c>
      <c r="V7" s="160" t="s">
        <v>1567</v>
      </c>
      <c r="W7" s="160" t="s">
        <v>1709</v>
      </c>
      <c r="X7" s="160" t="s">
        <v>1713</v>
      </c>
      <c r="Y7" s="151">
        <f>IF(ISBLANK(tblRisk[[#This Row],[Threat Cluster]]),"",_xlfn.XLOOKUP(tblRisk[[#This Row],[Threat Cluster]],tblHIT[Threat Cluster],tblHIT[Quintile]))</f>
        <v>3</v>
      </c>
      <c r="Z7" s="152">
        <v>5</v>
      </c>
      <c r="AA7" s="153" t="str">
        <f>IF(OR(ISBLANK(tblRisk[[#This Row],[HIT Quintile]]),ISBLANK(tblRisk[[#This Row],[Control Maturity]])),"",_xlfn.XLOOKUP(tblRisk[[#This Row],[Control Maturity]] &amp; tblRisk[[#This Row],[HIT Quintile]],tblHITWDI[Lookup],tblHITWDI[Likelihood Description]))</f>
        <v>Not Foreseeable</v>
      </c>
      <c r="AB7" s="161">
        <f>IF(ISERROR(tblRisk[[#This Row],[Likelihood of Control Failure]]),"",VLOOKUP(tblRisk[[#This Row],[Likelihood of Control Failure]],tblLikelihood[],2,FALSE))</f>
        <v>1</v>
      </c>
      <c r="AC7" s="154">
        <v>1</v>
      </c>
      <c r="AD7" s="155">
        <v>1</v>
      </c>
      <c r="AE7" s="155">
        <v>2</v>
      </c>
      <c r="AF7" s="162">
        <f>IF(ISBLANK(tblRisk[[#This Row],[Impact to Mission]]),"",MAX(tblRisk[[#This Row],[Impact to Mission]:[Impact to Obligations]]))</f>
        <v>2</v>
      </c>
      <c r="AG7" s="163">
        <f>IF(ISERROR(tblRisk[[#This Row],[Impact Score]]*tblRisk[[#This Row],[Likelihood Score]]),"",tblRisk[[#This Row],[Likelihood Score]]*tblRisk[[#This Row],[Impact Score]])</f>
        <v>2</v>
      </c>
      <c r="AH7" s="163">
        <f>tblRisk[[#This Row],[Risk Score]]</f>
        <v>2</v>
      </c>
      <c r="AI7" s="164">
        <f t="shared" si="0"/>
        <v>9</v>
      </c>
      <c r="AJ7" s="164">
        <f>IF(tblRisk[[#This Row],[Safeguard Status]]="In Place",tblRisk[[#This Row],[Control Maturity after SG]],tblRisk[[#This Row],[Control Maturity]])</f>
        <v>5</v>
      </c>
      <c r="AK7" s="173" t="str">
        <f>IF(tblRisk[[#This Row],[Safeguard Status]]="In Place",tblRisk[[#This Row],[Safeguard Threat Cluster]],tblRisk[[#This Row],[Threat Cluster]])</f>
        <v>Physical Facility</v>
      </c>
      <c r="AL7" s="164">
        <f>IF(tblRisk[[#This Row],[Safeguard Status]]="In Place",tblRisk[[#This Row],[Risk Level With Safeguard in Place]],tblRisk[[#This Row],[Risk Level]])</f>
        <v>2</v>
      </c>
      <c r="AM7" s="165" t="s">
        <v>1887</v>
      </c>
      <c r="AN7" s="165" t="str">
        <f>IF(tblRisk[[#This Row],[Risk Treatment Option]]="Manage",_xlfn.IFNA(INDEX(tblRiskTreatmentPrograms[#Data],MATCH(tblRisk[[#This Row],[Common Security Program]]&amp;tblRisk[[#This Row],[Common Security Control]],tblRiskTreatmentPrograms[Lookup],0),MATCH($AN$3,tblRiskTreatmentPrograms[#Headers],0)),txtBadRTP),"")</f>
        <v/>
      </c>
      <c r="AO7" s="165" t="str">
        <f>IF(tblRisk[[#This Row],[Risk Treatment Program]]="","",INDEX(tblRiskTreatmentPrograms[#Data],MATCH(tblRisk[[#This Row],[Risk Treatment Program]],tblRiskTreatmentPrograms[Risk Treatment Program],0),MATCH($AO$3,tblRiskTreatmentPrograms[#Headers],0)))</f>
        <v/>
      </c>
      <c r="AP7" s="165"/>
      <c r="AQ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 s="19" t="str">
        <f>tblRisk[[#This Row],[Threat Cluster]]</f>
        <v>Physical Facility</v>
      </c>
      <c r="AS7" s="156">
        <f>IF(ISBLANK(tblRisk[[#This Row],[Safeguard Threat Cluster]]),"",_xlfn.XLOOKUP(tblRisk[[#This Row],[Safeguard Threat Cluster]],tblHIT[Threat Cluster],tblHIT[Quintile]))</f>
        <v>3</v>
      </c>
      <c r="AT7" s="157">
        <f>_xlfn.SWITCH(tblRisk[[#This Row],[Risk Treatment Option]],"Manage",tblRisk[[#This Row],[Control Maturity]]+1,tblRisk[[#This Row],[Control Maturity]])</f>
        <v>5</v>
      </c>
      <c r="AU7" s="158" t="str">
        <f>IF(OR(ISBLANK(tblRisk[[#This Row],[Safeguard HIT Quintile]]),ISBLANK(tblRisk[[#This Row],[Control Maturity after SG]])),"",_xlfn.XLOOKUP(tblRisk[[#This Row],[Control Maturity after SG]] &amp;tblRisk[[#This Row],[Safeguard HIT Quintile]],tblHITWDI[Lookup],tblHITWDI[Likelihood Description]))</f>
        <v>Not Foreseeable</v>
      </c>
      <c r="AV7" s="166">
        <f>IF(ISERROR(tblRisk[[#This Row],[Likelihood of Control Failure after SG]]),"",VLOOKUP(tblRisk[[#This Row],[Likelihood of Control Failure after SG]],tblLikelihood[#Data],2,FALSE))</f>
        <v>1</v>
      </c>
      <c r="AW7" s="159">
        <f>tblRisk[[#This Row],[Impact to Mission]]</f>
        <v>1</v>
      </c>
      <c r="AX7" s="159">
        <f>tblRisk[[#This Row],[Impact to Objectives]]</f>
        <v>1</v>
      </c>
      <c r="AY7" s="159">
        <f>tblRisk[[#This Row],[Impact to Obligations]]</f>
        <v>2</v>
      </c>
      <c r="AZ7" s="166">
        <f>IF(ISBLANK(tblRisk[[#This Row],[Impact to Mission With Safeguard in Place]]),"",MAX(tblRisk[[#This Row],[Impact to Mission With Safeguard in Place]:[Impact to Obligations With Safeguard in Place]]))</f>
        <v>2</v>
      </c>
      <c r="BA7" s="167">
        <f>IF(ISERROR(tblRisk[[#This Row],[Impact Score with Safeguard in Place]]*tblRisk[[#This Row],[Likelihood Score with Safeguard in Place]]),"",tblRisk[[#This Row],[Impact Score with Safeguard in Place]]*tblRisk[[#This Row],[Likelihood Score with Safeguard in Place]])</f>
        <v>2</v>
      </c>
      <c r="BB7" s="164">
        <f>tblRisk[[#This Row],[Risk Score With Safeguard in Place]]</f>
        <v>2</v>
      </c>
      <c r="BC7" s="168" t="str">
        <f>IF(tblRisk[[#This Row],[Risk Treatment Option]]&lt;&gt;"Accept",IF(_xlfn.XLOOKUP(tblRisk[[#This Row],[Specific Safeguard Recommendation]],ProTrak[Task],ProTrak[Status],"Not Found")="Completed","Pending Validation","Pending"),"")</f>
        <v/>
      </c>
      <c r="BD7" s="169" t="str">
        <f>_xlfn.XLOOKUP(tblRisk[[#This Row],[Risk Treatment Program]],tblRiskTreatmentPrograms[Risk Treatment Program],tblRiskTreatmentPrograms[Estimated End Date (MM/DD/YYYY)],"")</f>
        <v/>
      </c>
      <c r="BE7" s="170"/>
      <c r="BF7" s="171" t="str">
        <f>_xlfn.IFNA(IF(tblRisk[[#This Row],[Due Date]]&lt;=vWhatIfQuarter,"Closed",""),"")</f>
        <v/>
      </c>
      <c r="BG7" s="171">
        <f>IF(tblRisk[[#This Row],[Scenario Builder Status]]="Closed",tblRisk[[#This Row],[Risk Score With Safeguard in Place]],tblRisk[[#This Row],[Risk Score]])</f>
        <v>2</v>
      </c>
      <c r="BH7" s="192" t="str">
        <f>tblRisk[[#This Row],[Common Security Program]]&amp;tblRisk[[#This Row],[Common Security Control]]&amp;tblRisk[[#This Row],[Asset Designation ]]</f>
        <v>Asset ManagementOperationDevices</v>
      </c>
      <c r="BI7" s="191"/>
      <c r="BJ7" s="191"/>
      <c r="BK7" s="191"/>
      <c r="BL7" s="191"/>
      <c r="BM7" s="191"/>
      <c r="BN7" s="191"/>
      <c r="BO7" s="191"/>
      <c r="BP7" s="191"/>
      <c r="BQ7" s="191"/>
    </row>
    <row r="8" spans="1:69" ht="78.75" x14ac:dyDescent="0.65">
      <c r="A8" s="160">
        <v>5</v>
      </c>
      <c r="B8" s="160" t="s">
        <v>899</v>
      </c>
      <c r="C8" s="19" t="s">
        <v>903</v>
      </c>
      <c r="D8" s="28" t="s">
        <v>1127</v>
      </c>
      <c r="E8" s="207" t="s">
        <v>1091</v>
      </c>
      <c r="F8" s="194"/>
      <c r="G8" s="194"/>
      <c r="H8" s="194" t="s">
        <v>117</v>
      </c>
      <c r="I8" s="194" t="s">
        <v>1080</v>
      </c>
      <c r="J8" s="194" t="s">
        <v>1080</v>
      </c>
      <c r="K8" s="194" t="s">
        <v>1080</v>
      </c>
      <c r="L8" s="194" t="s">
        <v>1080</v>
      </c>
      <c r="M8" s="194" t="s">
        <v>1080</v>
      </c>
      <c r="N8" s="194">
        <f>COUNTIF(tblRisk[[#This Row],[Defends Against Malware]:[Defends Against Targeted Intrusions]],"Yes")</f>
        <v>0</v>
      </c>
      <c r="O8" s="160" t="s">
        <v>17</v>
      </c>
      <c r="P8" s="160" t="s">
        <v>88</v>
      </c>
      <c r="Q8" s="160" t="s">
        <v>611</v>
      </c>
      <c r="R8" s="160" t="s">
        <v>1082</v>
      </c>
      <c r="S8" s="160" t="s">
        <v>1413</v>
      </c>
      <c r="T8" s="160" t="s">
        <v>1411</v>
      </c>
      <c r="U8" s="160" t="s">
        <v>1412</v>
      </c>
      <c r="V8" s="160" t="s">
        <v>1568</v>
      </c>
      <c r="W8" s="160" t="s">
        <v>1709</v>
      </c>
      <c r="X8" s="160" t="s">
        <v>1714</v>
      </c>
      <c r="Y8" s="151">
        <f>IF(ISBLANK(tblRisk[[#This Row],[Threat Cluster]]),"",_xlfn.XLOOKUP(tblRisk[[#This Row],[Threat Cluster]],tblHIT[Threat Cluster],tblHIT[Quintile]))</f>
        <v>3</v>
      </c>
      <c r="Z8" s="152">
        <v>5</v>
      </c>
      <c r="AA8" s="153" t="str">
        <f>IF(OR(ISBLANK(tblRisk[[#This Row],[HIT Quintile]]),ISBLANK(tblRisk[[#This Row],[Control Maturity]])),"",_xlfn.XLOOKUP(tblRisk[[#This Row],[Control Maturity]] &amp; tblRisk[[#This Row],[HIT Quintile]],tblHITWDI[Lookup],tblHITWDI[Likelihood Description]))</f>
        <v>Not Foreseeable</v>
      </c>
      <c r="AB8" s="161">
        <f>IF(ISERROR(tblRisk[[#This Row],[Likelihood of Control Failure]]),"",VLOOKUP(tblRisk[[#This Row],[Likelihood of Control Failure]],tblLikelihood[],2,FALSE))</f>
        <v>1</v>
      </c>
      <c r="AC8" s="154">
        <v>1</v>
      </c>
      <c r="AD8" s="155">
        <v>1</v>
      </c>
      <c r="AE8" s="155">
        <v>2</v>
      </c>
      <c r="AF8" s="162">
        <f>IF(ISBLANK(tblRisk[[#This Row],[Impact to Mission]]),"",MAX(tblRisk[[#This Row],[Impact to Mission]:[Impact to Obligations]]))</f>
        <v>2</v>
      </c>
      <c r="AG8" s="163">
        <f>IF(ISERROR(tblRisk[[#This Row],[Impact Score]]*tblRisk[[#This Row],[Likelihood Score]]),"",tblRisk[[#This Row],[Likelihood Score]]*tblRisk[[#This Row],[Impact Score]])</f>
        <v>2</v>
      </c>
      <c r="AH8" s="163">
        <f>tblRisk[[#This Row],[Risk Score]]</f>
        <v>2</v>
      </c>
      <c r="AI8" s="164">
        <f t="shared" si="0"/>
        <v>9</v>
      </c>
      <c r="AJ8" s="164">
        <f>IF(tblRisk[[#This Row],[Safeguard Status]]="In Place",tblRisk[[#This Row],[Control Maturity after SG]],tblRisk[[#This Row],[Control Maturity]])</f>
        <v>5</v>
      </c>
      <c r="AK8" s="173" t="str">
        <f>IF(tblRisk[[#This Row],[Safeguard Status]]="In Place",tblRisk[[#This Row],[Safeguard Threat Cluster]],tblRisk[[#This Row],[Threat Cluster]])</f>
        <v>Physical Facility</v>
      </c>
      <c r="AL8" s="164">
        <f>IF(tblRisk[[#This Row],[Safeguard Status]]="In Place",tblRisk[[#This Row],[Risk Level With Safeguard in Place]],tblRisk[[#This Row],[Risk Level]])</f>
        <v>2</v>
      </c>
      <c r="AM8" s="165" t="s">
        <v>1887</v>
      </c>
      <c r="AN8" s="165" t="str">
        <f>IF(tblRisk[[#This Row],[Risk Treatment Option]]="Manage",_xlfn.IFNA(INDEX(tblRiskTreatmentPrograms[#Data],MATCH(tblRisk[[#This Row],[Common Security Program]]&amp;tblRisk[[#This Row],[Common Security Control]],tblRiskTreatmentPrograms[Lookup],0),MATCH($AN$3,tblRiskTreatmentPrograms[#Headers],0)),txtBadRTP),"")</f>
        <v/>
      </c>
      <c r="AO8" s="165" t="str">
        <f>IF(tblRisk[[#This Row],[Risk Treatment Program]]="","",INDEX(tblRiskTreatmentPrograms[#Data],MATCH(tblRisk[[#This Row],[Risk Treatment Program]],tblRiskTreatmentPrograms[Risk Treatment Program],0),MATCH($AO$3,tblRiskTreatmentPrograms[#Headers],0)))</f>
        <v/>
      </c>
      <c r="AP8" s="165"/>
      <c r="AQ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 s="19" t="str">
        <f>tblRisk[[#This Row],[Threat Cluster]]</f>
        <v>Physical Facility</v>
      </c>
      <c r="AS8" s="156">
        <f>IF(ISBLANK(tblRisk[[#This Row],[Safeguard Threat Cluster]]),"",_xlfn.XLOOKUP(tblRisk[[#This Row],[Safeguard Threat Cluster]],tblHIT[Threat Cluster],tblHIT[Quintile]))</f>
        <v>3</v>
      </c>
      <c r="AT8" s="157">
        <f>_xlfn.SWITCH(tblRisk[[#This Row],[Risk Treatment Option]],"Manage",tblRisk[[#This Row],[Control Maturity]]+1,tblRisk[[#This Row],[Control Maturity]])</f>
        <v>5</v>
      </c>
      <c r="AU8" s="158" t="str">
        <f>IF(OR(ISBLANK(tblRisk[[#This Row],[Safeguard HIT Quintile]]),ISBLANK(tblRisk[[#This Row],[Control Maturity after SG]])),"",_xlfn.XLOOKUP(tblRisk[[#This Row],[Control Maturity after SG]] &amp;tblRisk[[#This Row],[Safeguard HIT Quintile]],tblHITWDI[Lookup],tblHITWDI[Likelihood Description]))</f>
        <v>Not Foreseeable</v>
      </c>
      <c r="AV8" s="166">
        <f>IF(ISERROR(tblRisk[[#This Row],[Likelihood of Control Failure after SG]]),"",VLOOKUP(tblRisk[[#This Row],[Likelihood of Control Failure after SG]],tblLikelihood[#Data],2,FALSE))</f>
        <v>1</v>
      </c>
      <c r="AW8" s="159">
        <f>tblRisk[[#This Row],[Impact to Mission]]</f>
        <v>1</v>
      </c>
      <c r="AX8" s="159">
        <f>tblRisk[[#This Row],[Impact to Objectives]]</f>
        <v>1</v>
      </c>
      <c r="AY8" s="159">
        <f>tblRisk[[#This Row],[Impact to Obligations]]</f>
        <v>2</v>
      </c>
      <c r="AZ8" s="166">
        <f>IF(ISBLANK(tblRisk[[#This Row],[Impact to Mission With Safeguard in Place]]),"",MAX(tblRisk[[#This Row],[Impact to Mission With Safeguard in Place]:[Impact to Obligations With Safeguard in Place]]))</f>
        <v>2</v>
      </c>
      <c r="BA8" s="167">
        <f>IF(ISERROR(tblRisk[[#This Row],[Impact Score with Safeguard in Place]]*tblRisk[[#This Row],[Likelihood Score with Safeguard in Place]]),"",tblRisk[[#This Row],[Impact Score with Safeguard in Place]]*tblRisk[[#This Row],[Likelihood Score with Safeguard in Place]])</f>
        <v>2</v>
      </c>
      <c r="BB8" s="164">
        <f>tblRisk[[#This Row],[Risk Score With Safeguard in Place]]</f>
        <v>2</v>
      </c>
      <c r="BC8" s="168" t="str">
        <f>IF(tblRisk[[#This Row],[Risk Treatment Option]]&lt;&gt;"Accept",IF(_xlfn.XLOOKUP(tblRisk[[#This Row],[Specific Safeguard Recommendation]],ProTrak[Task],ProTrak[Status],"Not Found")="Completed","Pending Validation","Pending"),"")</f>
        <v/>
      </c>
      <c r="BD8" s="169" t="str">
        <f>_xlfn.XLOOKUP(tblRisk[[#This Row],[Risk Treatment Program]],tblRiskTreatmentPrograms[Risk Treatment Program],tblRiskTreatmentPrograms[Estimated End Date (MM/DD/YYYY)],"")</f>
        <v/>
      </c>
      <c r="BE8" s="170"/>
      <c r="BF8" s="171" t="str">
        <f>_xlfn.IFNA(IF(tblRisk[[#This Row],[Due Date]]&lt;=vWhatIfQuarter,"Closed",""),"")</f>
        <v/>
      </c>
      <c r="BG8" s="171">
        <f>IF(tblRisk[[#This Row],[Scenario Builder Status]]="Closed",tblRisk[[#This Row],[Risk Score With Safeguard in Place]],tblRisk[[#This Row],[Risk Score]])</f>
        <v>2</v>
      </c>
      <c r="BH8" s="192" t="str">
        <f>tblRisk[[#This Row],[Common Security Program]]&amp;tblRisk[[#This Row],[Common Security Control]]&amp;tblRisk[[#This Row],[Asset Designation ]]</f>
        <v>Asset ManagementOperationDevices</v>
      </c>
      <c r="BI8" s="191"/>
      <c r="BJ8" s="191"/>
      <c r="BK8" s="191"/>
      <c r="BL8" s="191"/>
      <c r="BM8" s="191"/>
      <c r="BN8" s="191"/>
      <c r="BO8" s="191"/>
      <c r="BP8" s="191"/>
      <c r="BQ8" s="191"/>
    </row>
    <row r="9" spans="1:69" ht="94.5" x14ac:dyDescent="0.65">
      <c r="A9" s="160">
        <v>6</v>
      </c>
      <c r="B9" s="160" t="s">
        <v>899</v>
      </c>
      <c r="C9" s="19" t="s">
        <v>1017</v>
      </c>
      <c r="D9" s="28" t="s">
        <v>1128</v>
      </c>
      <c r="E9" s="207" t="s">
        <v>1089</v>
      </c>
      <c r="F9" s="194" t="s">
        <v>117</v>
      </c>
      <c r="G9" s="194" t="s">
        <v>117</v>
      </c>
      <c r="H9" s="194" t="s">
        <v>117</v>
      </c>
      <c r="I9" s="194" t="s">
        <v>1081</v>
      </c>
      <c r="J9" s="194" t="s">
        <v>1081</v>
      </c>
      <c r="K9" s="194" t="s">
        <v>1081</v>
      </c>
      <c r="L9" s="194" t="s">
        <v>1081</v>
      </c>
      <c r="M9" s="194" t="s">
        <v>1081</v>
      </c>
      <c r="N9" s="194">
        <f>COUNTIF(tblRisk[[#This Row],[Defends Against Malware]:[Defends Against Targeted Intrusions]],"Yes")</f>
        <v>5</v>
      </c>
      <c r="O9" s="160" t="s">
        <v>17</v>
      </c>
      <c r="P9" s="160" t="s">
        <v>86</v>
      </c>
      <c r="Q9" s="160" t="s">
        <v>31</v>
      </c>
      <c r="R9" s="160" t="s">
        <v>1083</v>
      </c>
      <c r="S9" s="160" t="s">
        <v>1087</v>
      </c>
      <c r="T9" s="160" t="s">
        <v>1409</v>
      </c>
      <c r="U9" s="19" t="s">
        <v>1904</v>
      </c>
      <c r="V9" s="19" t="s">
        <v>1620</v>
      </c>
      <c r="W9" s="160" t="s">
        <v>1709</v>
      </c>
      <c r="X9" s="160" t="s">
        <v>1715</v>
      </c>
      <c r="Y9" s="151">
        <f>IF(ISBLANK(tblRisk[[#This Row],[Threat Cluster]]),"",_xlfn.XLOOKUP(tblRisk[[#This Row],[Threat Cluster]],tblHIT[Threat Cluster],tblHIT[Quintile]))</f>
        <v>1</v>
      </c>
      <c r="Z9" s="152">
        <v>4</v>
      </c>
      <c r="AA9" s="153" t="str">
        <f>IF(OR(ISBLANK(tblRisk[[#This Row],[HIT Quintile]]),ISBLANK(tblRisk[[#This Row],[Control Maturity]])),"",_xlfn.XLOOKUP(tblRisk[[#This Row],[Control Maturity]] &amp; tblRisk[[#This Row],[HIT Quintile]],tblHITWDI[Lookup],tblHITWDI[Likelihood Description]))</f>
        <v>Not Foreseeable</v>
      </c>
      <c r="AB9" s="161">
        <f>IF(ISERROR(tblRisk[[#This Row],[Likelihood of Control Failure]]),"",VLOOKUP(tblRisk[[#This Row],[Likelihood of Control Failure]],tblLikelihood[],2,FALSE))</f>
        <v>1</v>
      </c>
      <c r="AC9" s="154">
        <v>2</v>
      </c>
      <c r="AD9" s="155">
        <v>2</v>
      </c>
      <c r="AE9" s="155">
        <v>2</v>
      </c>
      <c r="AF9" s="162">
        <f>IF(ISBLANK(tblRisk[[#This Row],[Impact to Mission]]),"",MAX(tblRisk[[#This Row],[Impact to Mission]:[Impact to Obligations]]))</f>
        <v>2</v>
      </c>
      <c r="AG9" s="163">
        <f>IF(ISERROR(tblRisk[[#This Row],[Impact Score]]*tblRisk[[#This Row],[Likelihood Score]]),"",tblRisk[[#This Row],[Likelihood Score]]*tblRisk[[#This Row],[Impact Score]])</f>
        <v>2</v>
      </c>
      <c r="AH9" s="163">
        <f>tblRisk[[#This Row],[Risk Score]]</f>
        <v>2</v>
      </c>
      <c r="AI9" s="164">
        <f t="shared" si="0"/>
        <v>9</v>
      </c>
      <c r="AJ9" s="164">
        <f>IF(tblRisk[[#This Row],[Safeguard Status]]="In Place",tblRisk[[#This Row],[Control Maturity after SG]],tblRisk[[#This Row],[Control Maturity]])</f>
        <v>4</v>
      </c>
      <c r="AK9" s="173" t="str">
        <f>IF(tblRisk[[#This Row],[Safeguard Status]]="In Place",tblRisk[[#This Row],[Safeguard Threat Cluster]],tblRisk[[#This Row],[Threat Cluster]])</f>
        <v>Hacking Web</v>
      </c>
      <c r="AL9" s="164">
        <f>IF(tblRisk[[#This Row],[Safeguard Status]]="In Place",tblRisk[[#This Row],[Risk Level With Safeguard in Place]],tblRisk[[#This Row],[Risk Level]])</f>
        <v>2</v>
      </c>
      <c r="AM9" s="165" t="s">
        <v>1887</v>
      </c>
      <c r="AN9" s="165" t="str">
        <f>IF(tblRisk[[#This Row],[Risk Treatment Option]]="Manage",_xlfn.IFNA(INDEX(tblRiskTreatmentPrograms[#Data],MATCH(tblRisk[[#This Row],[Common Security Program]]&amp;tblRisk[[#This Row],[Common Security Control]],tblRiskTreatmentPrograms[Lookup],0),MATCH($AN$3,tblRiskTreatmentPrograms[#Headers],0)),txtBadRTP),"")</f>
        <v/>
      </c>
      <c r="AO9" s="165" t="str">
        <f>IF(tblRisk[[#This Row],[Risk Treatment Program]]="","",INDEX(tblRiskTreatmentPrograms[#Data],MATCH(tblRisk[[#This Row],[Risk Treatment Program]],tblRiskTreatmentPrograms[Risk Treatment Program],0),MATCH($AO$3,tblRiskTreatmentPrograms[#Headers],0)))</f>
        <v/>
      </c>
      <c r="AP9" s="165"/>
      <c r="AQ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 s="19" t="str">
        <f>tblRisk[[#This Row],[Threat Cluster]]</f>
        <v>Hacking Web</v>
      </c>
      <c r="AS9" s="156">
        <f>IF(ISBLANK(tblRisk[[#This Row],[Safeguard Threat Cluster]]),"",_xlfn.XLOOKUP(tblRisk[[#This Row],[Safeguard Threat Cluster]],tblHIT[Threat Cluster],tblHIT[Quintile]))</f>
        <v>1</v>
      </c>
      <c r="AT9" s="157">
        <f>_xlfn.SWITCH(tblRisk[[#This Row],[Risk Treatment Option]],"Manage",tblRisk[[#This Row],[Control Maturity]]+1,tblRisk[[#This Row],[Control Maturity]])</f>
        <v>4</v>
      </c>
      <c r="AU9" s="158" t="str">
        <f>IF(OR(ISBLANK(tblRisk[[#This Row],[Safeguard HIT Quintile]]),ISBLANK(tblRisk[[#This Row],[Control Maturity after SG]])),"",_xlfn.XLOOKUP(tblRisk[[#This Row],[Control Maturity after SG]] &amp;tblRisk[[#This Row],[Safeguard HIT Quintile]],tblHITWDI[Lookup],tblHITWDI[Likelihood Description]))</f>
        <v>Not Foreseeable</v>
      </c>
      <c r="AV9" s="166">
        <f>IF(ISERROR(tblRisk[[#This Row],[Likelihood of Control Failure after SG]]),"",VLOOKUP(tblRisk[[#This Row],[Likelihood of Control Failure after SG]],tblLikelihood[#Data],2,FALSE))</f>
        <v>1</v>
      </c>
      <c r="AW9" s="159">
        <f>tblRisk[[#This Row],[Impact to Mission]]</f>
        <v>2</v>
      </c>
      <c r="AX9" s="159">
        <f>tblRisk[[#This Row],[Impact to Objectives]]</f>
        <v>2</v>
      </c>
      <c r="AY9" s="159">
        <f>tblRisk[[#This Row],[Impact to Obligations]]</f>
        <v>2</v>
      </c>
      <c r="AZ9" s="166">
        <f>IF(ISBLANK(tblRisk[[#This Row],[Impact to Mission With Safeguard in Place]]),"",MAX(tblRisk[[#This Row],[Impact to Mission With Safeguard in Place]:[Impact to Obligations With Safeguard in Place]]))</f>
        <v>2</v>
      </c>
      <c r="BA9" s="167">
        <f>IF(ISERROR(tblRisk[[#This Row],[Impact Score with Safeguard in Place]]*tblRisk[[#This Row],[Likelihood Score with Safeguard in Place]]),"",tblRisk[[#This Row],[Impact Score with Safeguard in Place]]*tblRisk[[#This Row],[Likelihood Score with Safeguard in Place]])</f>
        <v>2</v>
      </c>
      <c r="BB9" s="164">
        <f>tblRisk[[#This Row],[Risk Score With Safeguard in Place]]</f>
        <v>2</v>
      </c>
      <c r="BC9" s="168" t="str">
        <f>IF(tblRisk[[#This Row],[Risk Treatment Option]]&lt;&gt;"Accept",IF(_xlfn.XLOOKUP(tblRisk[[#This Row],[Specific Safeguard Recommendation]],ProTrak[Task],ProTrak[Status],"Not Found")="Completed","Pending Validation","Pending"),"")</f>
        <v/>
      </c>
      <c r="BD9" s="169" t="str">
        <f>_xlfn.XLOOKUP(tblRisk[[#This Row],[Risk Treatment Program]],tblRiskTreatmentPrograms[Risk Treatment Program],tblRiskTreatmentPrograms[Estimated End Date (MM/DD/YYYY)],"")</f>
        <v/>
      </c>
      <c r="BE9" s="170"/>
      <c r="BF9" s="171" t="str">
        <f>_xlfn.IFNA(IF(tblRisk[[#This Row],[Due Date]]&lt;=vWhatIfQuarter,"Closed",""),"")</f>
        <v/>
      </c>
      <c r="BG9" s="171">
        <f>IF(tblRisk[[#This Row],[Scenario Builder Status]]="Closed",tblRisk[[#This Row],[Risk Score With Safeguard in Place]],tblRisk[[#This Row],[Risk Score]])</f>
        <v>2</v>
      </c>
      <c r="BH9" s="192" t="str">
        <f>tblRisk[[#This Row],[Common Security Program]]&amp;tblRisk[[#This Row],[Common Security Control]]&amp;tblRisk[[#This Row],[Asset Designation ]]</f>
        <v>Asset ManagementGovernanceApplications</v>
      </c>
      <c r="BI9" s="191"/>
      <c r="BJ9" s="191"/>
      <c r="BK9" s="191"/>
      <c r="BL9" s="191" t="s">
        <v>117</v>
      </c>
      <c r="BM9" s="191"/>
      <c r="BN9" s="191"/>
      <c r="BO9" s="191"/>
      <c r="BP9" s="191"/>
      <c r="BQ9" s="191"/>
    </row>
    <row r="10" spans="1:69" ht="299.25" x14ac:dyDescent="0.65">
      <c r="A10" s="160">
        <v>7</v>
      </c>
      <c r="B10" s="160" t="s">
        <v>899</v>
      </c>
      <c r="C10" s="19" t="s">
        <v>904</v>
      </c>
      <c r="D10" s="28" t="s">
        <v>1129</v>
      </c>
      <c r="E10" s="207" t="s">
        <v>1089</v>
      </c>
      <c r="F10" s="194" t="s">
        <v>117</v>
      </c>
      <c r="G10" s="194" t="s">
        <v>117</v>
      </c>
      <c r="H10" s="194" t="s">
        <v>117</v>
      </c>
      <c r="I10" s="194" t="s">
        <v>1081</v>
      </c>
      <c r="J10" s="194" t="s">
        <v>1081</v>
      </c>
      <c r="K10" s="194" t="s">
        <v>1081</v>
      </c>
      <c r="L10" s="194" t="s">
        <v>1081</v>
      </c>
      <c r="M10" s="194" t="s">
        <v>1081</v>
      </c>
      <c r="N10" s="194">
        <f>COUNTIF(tblRisk[[#This Row],[Defends Against Malware]:[Defends Against Targeted Intrusions]],"Yes")</f>
        <v>5</v>
      </c>
      <c r="O10" s="160" t="s">
        <v>22</v>
      </c>
      <c r="P10" s="160" t="s">
        <v>88</v>
      </c>
      <c r="Q10" s="160" t="s">
        <v>31</v>
      </c>
      <c r="R10" s="160" t="s">
        <v>1083</v>
      </c>
      <c r="S10" s="160" t="s">
        <v>1431</v>
      </c>
      <c r="T10" s="160" t="s">
        <v>1429</v>
      </c>
      <c r="U10" s="160" t="s">
        <v>1430</v>
      </c>
      <c r="V10" s="160" t="s">
        <v>1569</v>
      </c>
      <c r="W10" s="160" t="s">
        <v>1709</v>
      </c>
      <c r="X10" s="160" t="s">
        <v>1716</v>
      </c>
      <c r="Y10" s="151">
        <f>IF(ISBLANK(tblRisk[[#This Row],[Threat Cluster]]),"",_xlfn.XLOOKUP(tblRisk[[#This Row],[Threat Cluster]],tblHIT[Threat Cluster],tblHIT[Quintile]))</f>
        <v>1</v>
      </c>
      <c r="Z10" s="152">
        <v>5</v>
      </c>
      <c r="AA10" s="153" t="str">
        <f>IF(OR(ISBLANK(tblRisk[[#This Row],[HIT Quintile]]),ISBLANK(tblRisk[[#This Row],[Control Maturity]])),"",_xlfn.XLOOKUP(tblRisk[[#This Row],[Control Maturity]] &amp; tblRisk[[#This Row],[HIT Quintile]],tblHITWDI[Lookup],tblHITWDI[Likelihood Description]))</f>
        <v>Not Foreseeable</v>
      </c>
      <c r="AB10" s="161">
        <f>IF(ISERROR(tblRisk[[#This Row],[Likelihood of Control Failure]]),"",VLOOKUP(tblRisk[[#This Row],[Likelihood of Control Failure]],tblLikelihood[],2,FALSE))</f>
        <v>1</v>
      </c>
      <c r="AC10" s="154">
        <v>2</v>
      </c>
      <c r="AD10" s="155">
        <v>2</v>
      </c>
      <c r="AE10" s="155">
        <v>2</v>
      </c>
      <c r="AF10" s="162">
        <f>IF(ISBLANK(tblRisk[[#This Row],[Impact to Mission]]),"",MAX(tblRisk[[#This Row],[Impact to Mission]:[Impact to Obligations]]))</f>
        <v>2</v>
      </c>
      <c r="AG10" s="163">
        <f>IF(ISERROR(tblRisk[[#This Row],[Impact Score]]*tblRisk[[#This Row],[Likelihood Score]]),"",tblRisk[[#This Row],[Likelihood Score]]*tblRisk[[#This Row],[Impact Score]])</f>
        <v>2</v>
      </c>
      <c r="AH10" s="163">
        <f>tblRisk[[#This Row],[Risk Score]]</f>
        <v>2</v>
      </c>
      <c r="AI10" s="164">
        <f t="shared" si="0"/>
        <v>9</v>
      </c>
      <c r="AJ10" s="164">
        <f>IF(tblRisk[[#This Row],[Safeguard Status]]="In Place",tblRisk[[#This Row],[Control Maturity after SG]],tblRisk[[#This Row],[Control Maturity]])</f>
        <v>5</v>
      </c>
      <c r="AK10" s="173" t="str">
        <f>IF(tblRisk[[#This Row],[Safeguard Status]]="In Place",tblRisk[[#This Row],[Safeguard Threat Cluster]],tblRisk[[#This Row],[Threat Cluster]])</f>
        <v>Hacking Web</v>
      </c>
      <c r="AL10" s="164">
        <f>IF(tblRisk[[#This Row],[Safeguard Status]]="In Place",tblRisk[[#This Row],[Risk Level With Safeguard in Place]],tblRisk[[#This Row],[Risk Level]])</f>
        <v>2</v>
      </c>
      <c r="AM10" s="165" t="s">
        <v>1887</v>
      </c>
      <c r="AN10" s="165" t="str">
        <f>IF(tblRisk[[#This Row],[Risk Treatment Option]]="Manage",_xlfn.IFNA(INDEX(tblRiskTreatmentPrograms[#Data],MATCH(tblRisk[[#This Row],[Common Security Program]]&amp;tblRisk[[#This Row],[Common Security Control]],tblRiskTreatmentPrograms[Lookup],0),MATCH($AN$3,tblRiskTreatmentPrograms[#Headers],0)),txtBadRTP),"")</f>
        <v/>
      </c>
      <c r="AO10" s="165" t="str">
        <f>IF(tblRisk[[#This Row],[Risk Treatment Program]]="","",INDEX(tblRiskTreatmentPrograms[#Data],MATCH(tblRisk[[#This Row],[Risk Treatment Program]],tblRiskTreatmentPrograms[Risk Treatment Program],0),MATCH($AO$3,tblRiskTreatmentPrograms[#Headers],0)))</f>
        <v/>
      </c>
      <c r="AP10" s="165"/>
      <c r="AQ1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 s="19" t="str">
        <f>tblRisk[[#This Row],[Threat Cluster]]</f>
        <v>Hacking Web</v>
      </c>
      <c r="AS10" s="156">
        <f>IF(ISBLANK(tblRisk[[#This Row],[Safeguard Threat Cluster]]),"",_xlfn.XLOOKUP(tblRisk[[#This Row],[Safeguard Threat Cluster]],tblHIT[Threat Cluster],tblHIT[Quintile]))</f>
        <v>1</v>
      </c>
      <c r="AT10" s="157">
        <f>_xlfn.SWITCH(tblRisk[[#This Row],[Risk Treatment Option]],"Manage",tblRisk[[#This Row],[Control Maturity]]+1,tblRisk[[#This Row],[Control Maturity]])</f>
        <v>5</v>
      </c>
      <c r="AU10" s="158" t="str">
        <f>IF(OR(ISBLANK(tblRisk[[#This Row],[Safeguard HIT Quintile]]),ISBLANK(tblRisk[[#This Row],[Control Maturity after SG]])),"",_xlfn.XLOOKUP(tblRisk[[#This Row],[Control Maturity after SG]] &amp;tblRisk[[#This Row],[Safeguard HIT Quintile]],tblHITWDI[Lookup],tblHITWDI[Likelihood Description]))</f>
        <v>Not Foreseeable</v>
      </c>
      <c r="AV10" s="166">
        <f>IF(ISERROR(tblRisk[[#This Row],[Likelihood of Control Failure after SG]]),"",VLOOKUP(tblRisk[[#This Row],[Likelihood of Control Failure after SG]],tblLikelihood[#Data],2,FALSE))</f>
        <v>1</v>
      </c>
      <c r="AW10" s="159">
        <f>tblRisk[[#This Row],[Impact to Mission]]</f>
        <v>2</v>
      </c>
      <c r="AX10" s="159">
        <f>tblRisk[[#This Row],[Impact to Objectives]]</f>
        <v>2</v>
      </c>
      <c r="AY10" s="159">
        <f>tblRisk[[#This Row],[Impact to Obligations]]</f>
        <v>2</v>
      </c>
      <c r="AZ10" s="166">
        <f>IF(ISBLANK(tblRisk[[#This Row],[Impact to Mission With Safeguard in Place]]),"",MAX(tblRisk[[#This Row],[Impact to Mission With Safeguard in Place]:[Impact to Obligations With Safeguard in Place]]))</f>
        <v>2</v>
      </c>
      <c r="BA10" s="167">
        <f>IF(ISERROR(tblRisk[[#This Row],[Impact Score with Safeguard in Place]]*tblRisk[[#This Row],[Likelihood Score with Safeguard in Place]]),"",tblRisk[[#This Row],[Impact Score with Safeguard in Place]]*tblRisk[[#This Row],[Likelihood Score with Safeguard in Place]])</f>
        <v>2</v>
      </c>
      <c r="BB10" s="164">
        <f>tblRisk[[#This Row],[Risk Score With Safeguard in Place]]</f>
        <v>2</v>
      </c>
      <c r="BC10" s="168" t="str">
        <f>IF(tblRisk[[#This Row],[Risk Treatment Option]]&lt;&gt;"Accept",IF(_xlfn.XLOOKUP(tblRisk[[#This Row],[Specific Safeguard Recommendation]],ProTrak[Task],ProTrak[Status],"Not Found")="Completed","Pending Validation","Pending"),"")</f>
        <v/>
      </c>
      <c r="BD10" s="169" t="str">
        <f>_xlfn.XLOOKUP(tblRisk[[#This Row],[Risk Treatment Program]],tblRiskTreatmentPrograms[Risk Treatment Program],tblRiskTreatmentPrograms[Estimated End Date (MM/DD/YYYY)],"")</f>
        <v/>
      </c>
      <c r="BE10" s="170"/>
      <c r="BF10" s="171" t="str">
        <f>_xlfn.IFNA(IF(tblRisk[[#This Row],[Due Date]]&lt;=vWhatIfQuarter,"Closed",""),"")</f>
        <v/>
      </c>
      <c r="BG10" s="171">
        <f>IF(tblRisk[[#This Row],[Scenario Builder Status]]="Closed",tblRisk[[#This Row],[Risk Score With Safeguard in Place]],tblRisk[[#This Row],[Risk Score]])</f>
        <v>2</v>
      </c>
      <c r="BH10" s="192" t="str">
        <f>tblRisk[[#This Row],[Common Security Program]]&amp;tblRisk[[#This Row],[Common Security Control]]&amp;tblRisk[[#This Row],[Asset Designation ]]</f>
        <v>Vulnerability ManagementOperationApplications</v>
      </c>
      <c r="BI10" s="191"/>
      <c r="BJ10" s="191"/>
      <c r="BK10" s="191"/>
      <c r="BL10" s="191" t="s">
        <v>117</v>
      </c>
      <c r="BM10" s="191"/>
      <c r="BN10" s="191"/>
      <c r="BO10" s="191"/>
      <c r="BP10" s="191"/>
      <c r="BQ10" s="191"/>
    </row>
    <row r="11" spans="1:69" ht="94.5" x14ac:dyDescent="0.65">
      <c r="A11" s="160">
        <v>8</v>
      </c>
      <c r="B11" s="160" t="s">
        <v>899</v>
      </c>
      <c r="C11" s="19" t="s">
        <v>905</v>
      </c>
      <c r="D11" s="28" t="s">
        <v>1130</v>
      </c>
      <c r="E11" s="207" t="s">
        <v>1090</v>
      </c>
      <c r="F11" s="194" t="s">
        <v>117</v>
      </c>
      <c r="G11" s="194" t="s">
        <v>117</v>
      </c>
      <c r="H11" s="194" t="s">
        <v>117</v>
      </c>
      <c r="I11" s="194" t="s">
        <v>1081</v>
      </c>
      <c r="J11" s="194" t="s">
        <v>1081</v>
      </c>
      <c r="K11" s="194" t="s">
        <v>1081</v>
      </c>
      <c r="L11" s="194" t="s">
        <v>1081</v>
      </c>
      <c r="M11" s="194" t="s">
        <v>1081</v>
      </c>
      <c r="N11" s="194">
        <f>COUNTIF(tblRisk[[#This Row],[Defends Against Malware]:[Defends Against Targeted Intrusions]],"Yes")</f>
        <v>5</v>
      </c>
      <c r="O11" s="160" t="s">
        <v>17</v>
      </c>
      <c r="P11" s="160" t="s">
        <v>88</v>
      </c>
      <c r="Q11" s="160" t="s">
        <v>31</v>
      </c>
      <c r="R11" s="160" t="s">
        <v>1083</v>
      </c>
      <c r="S11" s="160" t="s">
        <v>1413</v>
      </c>
      <c r="T11" s="160" t="s">
        <v>1411</v>
      </c>
      <c r="U11" s="160" t="s">
        <v>1412</v>
      </c>
      <c r="V11" s="19" t="s">
        <v>1885</v>
      </c>
      <c r="W11" s="160" t="s">
        <v>1709</v>
      </c>
      <c r="X11" s="160" t="s">
        <v>1717</v>
      </c>
      <c r="Y11" s="151">
        <f>IF(ISBLANK(tblRisk[[#This Row],[Threat Cluster]]),"",_xlfn.XLOOKUP(tblRisk[[#This Row],[Threat Cluster]],tblHIT[Threat Cluster],tblHIT[Quintile]))</f>
        <v>1</v>
      </c>
      <c r="Z11" s="152">
        <v>5</v>
      </c>
      <c r="AA11" s="153" t="str">
        <f>IF(OR(ISBLANK(tblRisk[[#This Row],[HIT Quintile]]),ISBLANK(tblRisk[[#This Row],[Control Maturity]])),"",_xlfn.XLOOKUP(tblRisk[[#This Row],[Control Maturity]] &amp; tblRisk[[#This Row],[HIT Quintile]],tblHITWDI[Lookup],tblHITWDI[Likelihood Description]))</f>
        <v>Not Foreseeable</v>
      </c>
      <c r="AB11" s="161">
        <f>IF(ISERROR(tblRisk[[#This Row],[Likelihood of Control Failure]]),"",VLOOKUP(tblRisk[[#This Row],[Likelihood of Control Failure]],tblLikelihood[],2,FALSE))</f>
        <v>1</v>
      </c>
      <c r="AC11" s="154">
        <v>2</v>
      </c>
      <c r="AD11" s="155">
        <v>2</v>
      </c>
      <c r="AE11" s="155">
        <v>2</v>
      </c>
      <c r="AF11" s="162">
        <f>IF(ISBLANK(tblRisk[[#This Row],[Impact to Mission]]),"",MAX(tblRisk[[#This Row],[Impact to Mission]:[Impact to Obligations]]))</f>
        <v>2</v>
      </c>
      <c r="AG11" s="163">
        <f>IF(ISERROR(tblRisk[[#This Row],[Impact Score]]*tblRisk[[#This Row],[Likelihood Score]]),"",tblRisk[[#This Row],[Likelihood Score]]*tblRisk[[#This Row],[Impact Score]])</f>
        <v>2</v>
      </c>
      <c r="AH11" s="163">
        <f>tblRisk[[#This Row],[Risk Score]]</f>
        <v>2</v>
      </c>
      <c r="AI11" s="164">
        <f t="shared" si="0"/>
        <v>9</v>
      </c>
      <c r="AJ11" s="164">
        <f>IF(tblRisk[[#This Row],[Safeguard Status]]="In Place",tblRisk[[#This Row],[Control Maturity after SG]],tblRisk[[#This Row],[Control Maturity]])</f>
        <v>5</v>
      </c>
      <c r="AK11" s="173" t="str">
        <f>IF(tblRisk[[#This Row],[Safeguard Status]]="In Place",tblRisk[[#This Row],[Safeguard Threat Cluster]],tblRisk[[#This Row],[Threat Cluster]])</f>
        <v>Hacking Web</v>
      </c>
      <c r="AL11" s="164">
        <f>IF(tblRisk[[#This Row],[Safeguard Status]]="In Place",tblRisk[[#This Row],[Risk Level With Safeguard in Place]],tblRisk[[#This Row],[Risk Level]])</f>
        <v>2</v>
      </c>
      <c r="AM11" s="165" t="s">
        <v>1887</v>
      </c>
      <c r="AN11" s="165" t="str">
        <f>IF(tblRisk[[#This Row],[Risk Treatment Option]]="Manage",_xlfn.IFNA(INDEX(tblRiskTreatmentPrograms[#Data],MATCH(tblRisk[[#This Row],[Common Security Program]]&amp;tblRisk[[#This Row],[Common Security Control]],tblRiskTreatmentPrograms[Lookup],0),MATCH($AN$3,tblRiskTreatmentPrograms[#Headers],0)),txtBadRTP),"")</f>
        <v/>
      </c>
      <c r="AO11" s="165" t="str">
        <f>IF(tblRisk[[#This Row],[Risk Treatment Program]]="","",INDEX(tblRiskTreatmentPrograms[#Data],MATCH(tblRisk[[#This Row],[Risk Treatment Program]],tblRiskTreatmentPrograms[Risk Treatment Program],0),MATCH($AO$3,tblRiskTreatmentPrograms[#Headers],0)))</f>
        <v/>
      </c>
      <c r="AP11" s="165"/>
      <c r="AQ1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 s="19" t="str">
        <f>tblRisk[[#This Row],[Threat Cluster]]</f>
        <v>Hacking Web</v>
      </c>
      <c r="AS11" s="156">
        <f>IF(ISBLANK(tblRisk[[#This Row],[Safeguard Threat Cluster]]),"",_xlfn.XLOOKUP(tblRisk[[#This Row],[Safeguard Threat Cluster]],tblHIT[Threat Cluster],tblHIT[Quintile]))</f>
        <v>1</v>
      </c>
      <c r="AT11" s="157">
        <f>_xlfn.SWITCH(tblRisk[[#This Row],[Risk Treatment Option]],"Manage",tblRisk[[#This Row],[Control Maturity]]+1,tblRisk[[#This Row],[Control Maturity]])</f>
        <v>5</v>
      </c>
      <c r="AU11" s="158" t="str">
        <f>IF(OR(ISBLANK(tblRisk[[#This Row],[Safeguard HIT Quintile]]),ISBLANK(tblRisk[[#This Row],[Control Maturity after SG]])),"",_xlfn.XLOOKUP(tblRisk[[#This Row],[Control Maturity after SG]] &amp;tblRisk[[#This Row],[Safeguard HIT Quintile]],tblHITWDI[Lookup],tblHITWDI[Likelihood Description]))</f>
        <v>Not Foreseeable</v>
      </c>
      <c r="AV11" s="166">
        <f>IF(ISERROR(tblRisk[[#This Row],[Likelihood of Control Failure after SG]]),"",VLOOKUP(tblRisk[[#This Row],[Likelihood of Control Failure after SG]],tblLikelihood[#Data],2,FALSE))</f>
        <v>1</v>
      </c>
      <c r="AW11" s="159">
        <f>tblRisk[[#This Row],[Impact to Mission]]</f>
        <v>2</v>
      </c>
      <c r="AX11" s="159">
        <f>tblRisk[[#This Row],[Impact to Objectives]]</f>
        <v>2</v>
      </c>
      <c r="AY11" s="159">
        <f>tblRisk[[#This Row],[Impact to Obligations]]</f>
        <v>2</v>
      </c>
      <c r="AZ11" s="166">
        <f>IF(ISBLANK(tblRisk[[#This Row],[Impact to Mission With Safeguard in Place]]),"",MAX(tblRisk[[#This Row],[Impact to Mission With Safeguard in Place]:[Impact to Obligations With Safeguard in Place]]))</f>
        <v>2</v>
      </c>
      <c r="BA11" s="167">
        <f>IF(ISERROR(tblRisk[[#This Row],[Impact Score with Safeguard in Place]]*tblRisk[[#This Row],[Likelihood Score with Safeguard in Place]]),"",tblRisk[[#This Row],[Impact Score with Safeguard in Place]]*tblRisk[[#This Row],[Likelihood Score with Safeguard in Place]])</f>
        <v>2</v>
      </c>
      <c r="BB11" s="164">
        <f>tblRisk[[#This Row],[Risk Score With Safeguard in Place]]</f>
        <v>2</v>
      </c>
      <c r="BC11" s="168" t="str">
        <f>IF(tblRisk[[#This Row],[Risk Treatment Option]]&lt;&gt;"Accept",IF(_xlfn.XLOOKUP(tblRisk[[#This Row],[Specific Safeguard Recommendation]],ProTrak[Task],ProTrak[Status],"Not Found")="Completed","Pending Validation","Pending"),"")</f>
        <v/>
      </c>
      <c r="BD11" s="169" t="str">
        <f>_xlfn.XLOOKUP(tblRisk[[#This Row],[Risk Treatment Program]],tblRiskTreatmentPrograms[Risk Treatment Program],tblRiskTreatmentPrograms[Estimated End Date (MM/DD/YYYY)],"")</f>
        <v/>
      </c>
      <c r="BE11" s="170"/>
      <c r="BF11" s="171" t="str">
        <f>_xlfn.IFNA(IF(tblRisk[[#This Row],[Due Date]]&lt;=vWhatIfQuarter,"Closed",""),"")</f>
        <v/>
      </c>
      <c r="BG11" s="171">
        <f>IF(tblRisk[[#This Row],[Scenario Builder Status]]="Closed",tblRisk[[#This Row],[Risk Score With Safeguard in Place]],tblRisk[[#This Row],[Risk Score]])</f>
        <v>2</v>
      </c>
      <c r="BH11" s="192" t="str">
        <f>tblRisk[[#This Row],[Common Security Program]]&amp;tblRisk[[#This Row],[Common Security Control]]&amp;tblRisk[[#This Row],[Asset Designation ]]</f>
        <v>Asset ManagementOperationApplications</v>
      </c>
      <c r="BI11" s="191"/>
      <c r="BJ11" s="191"/>
      <c r="BK11" s="191"/>
      <c r="BL11" s="191" t="s">
        <v>117</v>
      </c>
      <c r="BM11" s="191"/>
      <c r="BN11" s="191"/>
      <c r="BO11" s="191"/>
      <c r="BP11" s="191"/>
      <c r="BQ11" s="191"/>
    </row>
    <row r="12" spans="1:69" ht="78.75" x14ac:dyDescent="0.65">
      <c r="A12" s="160">
        <v>9</v>
      </c>
      <c r="B12" s="160" t="s">
        <v>899</v>
      </c>
      <c r="C12" s="19" t="s">
        <v>906</v>
      </c>
      <c r="D12" s="28" t="s">
        <v>1131</v>
      </c>
      <c r="E12" s="207" t="s">
        <v>1091</v>
      </c>
      <c r="F12" s="194"/>
      <c r="G12" s="194" t="s">
        <v>117</v>
      </c>
      <c r="H12" s="194" t="s">
        <v>117</v>
      </c>
      <c r="I12" s="194" t="s">
        <v>1081</v>
      </c>
      <c r="J12" s="194" t="s">
        <v>1081</v>
      </c>
      <c r="K12" s="194" t="s">
        <v>1081</v>
      </c>
      <c r="L12" s="194" t="s">
        <v>1081</v>
      </c>
      <c r="M12" s="194" t="s">
        <v>1081</v>
      </c>
      <c r="N12" s="194">
        <f>COUNTIF(tblRisk[[#This Row],[Defends Against Malware]:[Defends Against Targeted Intrusions]],"Yes")</f>
        <v>5</v>
      </c>
      <c r="O12" s="160" t="s">
        <v>17</v>
      </c>
      <c r="P12" s="160" t="s">
        <v>88</v>
      </c>
      <c r="Q12" s="160" t="s">
        <v>31</v>
      </c>
      <c r="R12" s="160" t="s">
        <v>1083</v>
      </c>
      <c r="S12" s="160" t="s">
        <v>1413</v>
      </c>
      <c r="T12" s="160" t="s">
        <v>1411</v>
      </c>
      <c r="U12" s="160" t="s">
        <v>1412</v>
      </c>
      <c r="V12" s="19" t="s">
        <v>1621</v>
      </c>
      <c r="W12" s="160" t="s">
        <v>1709</v>
      </c>
      <c r="X12" s="160" t="s">
        <v>1718</v>
      </c>
      <c r="Y12" s="151">
        <f>IF(ISBLANK(tblRisk[[#This Row],[Threat Cluster]]),"",_xlfn.XLOOKUP(tblRisk[[#This Row],[Threat Cluster]],tblHIT[Threat Cluster],tblHIT[Quintile]))</f>
        <v>1</v>
      </c>
      <c r="Z12" s="152">
        <v>4</v>
      </c>
      <c r="AA12" s="153" t="str">
        <f>IF(OR(ISBLANK(tblRisk[[#This Row],[HIT Quintile]]),ISBLANK(tblRisk[[#This Row],[Control Maturity]])),"",_xlfn.XLOOKUP(tblRisk[[#This Row],[Control Maturity]] &amp; tblRisk[[#This Row],[HIT Quintile]],tblHITWDI[Lookup],tblHITWDI[Likelihood Description]))</f>
        <v>Not Foreseeable</v>
      </c>
      <c r="AB12" s="161">
        <f>IF(ISERROR(tblRisk[[#This Row],[Likelihood of Control Failure]]),"",VLOOKUP(tblRisk[[#This Row],[Likelihood of Control Failure]],tblLikelihood[],2,FALSE))</f>
        <v>1</v>
      </c>
      <c r="AC12" s="154">
        <v>2</v>
      </c>
      <c r="AD12" s="155">
        <v>2</v>
      </c>
      <c r="AE12" s="155">
        <v>2</v>
      </c>
      <c r="AF12" s="162">
        <f>IF(ISBLANK(tblRisk[[#This Row],[Impact to Mission]]),"",MAX(tblRisk[[#This Row],[Impact to Mission]:[Impact to Obligations]]))</f>
        <v>2</v>
      </c>
      <c r="AG12" s="163">
        <f>IF(ISERROR(tblRisk[[#This Row],[Impact Score]]*tblRisk[[#This Row],[Likelihood Score]]),"",tblRisk[[#This Row],[Likelihood Score]]*tblRisk[[#This Row],[Impact Score]])</f>
        <v>2</v>
      </c>
      <c r="AH12" s="163">
        <f>tblRisk[[#This Row],[Risk Score]]</f>
        <v>2</v>
      </c>
      <c r="AI12" s="164">
        <f t="shared" si="0"/>
        <v>9</v>
      </c>
      <c r="AJ12" s="164">
        <f>IF(tblRisk[[#This Row],[Safeguard Status]]="In Place",tblRisk[[#This Row],[Control Maturity after SG]],tblRisk[[#This Row],[Control Maturity]])</f>
        <v>4</v>
      </c>
      <c r="AK12" s="173" t="str">
        <f>IF(tblRisk[[#This Row],[Safeguard Status]]="In Place",tblRisk[[#This Row],[Safeguard Threat Cluster]],tblRisk[[#This Row],[Threat Cluster]])</f>
        <v>Hacking Web</v>
      </c>
      <c r="AL12" s="164">
        <f>IF(tblRisk[[#This Row],[Safeguard Status]]="In Place",tblRisk[[#This Row],[Risk Level With Safeguard in Place]],tblRisk[[#This Row],[Risk Level]])</f>
        <v>2</v>
      </c>
      <c r="AM12" s="165" t="s">
        <v>1887</v>
      </c>
      <c r="AN12" s="165" t="str">
        <f>IF(tblRisk[[#This Row],[Risk Treatment Option]]="Manage",_xlfn.IFNA(INDEX(tblRiskTreatmentPrograms[#Data],MATCH(tblRisk[[#This Row],[Common Security Program]]&amp;tblRisk[[#This Row],[Common Security Control]],tblRiskTreatmentPrograms[Lookup],0),MATCH($AN$3,tblRiskTreatmentPrograms[#Headers],0)),txtBadRTP),"")</f>
        <v/>
      </c>
      <c r="AO12" s="165" t="str">
        <f>IF(tblRisk[[#This Row],[Risk Treatment Program]]="","",INDEX(tblRiskTreatmentPrograms[#Data],MATCH(tblRisk[[#This Row],[Risk Treatment Program]],tblRiskTreatmentPrograms[Risk Treatment Program],0),MATCH($AO$3,tblRiskTreatmentPrograms[#Headers],0)))</f>
        <v/>
      </c>
      <c r="AP12" s="165"/>
      <c r="AQ1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 s="19" t="str">
        <f>tblRisk[[#This Row],[Threat Cluster]]</f>
        <v>Hacking Web</v>
      </c>
      <c r="AS12" s="156">
        <f>IF(ISBLANK(tblRisk[[#This Row],[Safeguard Threat Cluster]]),"",_xlfn.XLOOKUP(tblRisk[[#This Row],[Safeguard Threat Cluster]],tblHIT[Threat Cluster],tblHIT[Quintile]))</f>
        <v>1</v>
      </c>
      <c r="AT12" s="157">
        <f>_xlfn.SWITCH(tblRisk[[#This Row],[Risk Treatment Option]],"Manage",tblRisk[[#This Row],[Control Maturity]]+1,tblRisk[[#This Row],[Control Maturity]])</f>
        <v>4</v>
      </c>
      <c r="AU12" s="158" t="str">
        <f>IF(OR(ISBLANK(tblRisk[[#This Row],[Safeguard HIT Quintile]]),ISBLANK(tblRisk[[#This Row],[Control Maturity after SG]])),"",_xlfn.XLOOKUP(tblRisk[[#This Row],[Control Maturity after SG]] &amp;tblRisk[[#This Row],[Safeguard HIT Quintile]],tblHITWDI[Lookup],tblHITWDI[Likelihood Description]))</f>
        <v>Not Foreseeable</v>
      </c>
      <c r="AV12" s="166">
        <f>IF(ISERROR(tblRisk[[#This Row],[Likelihood of Control Failure after SG]]),"",VLOOKUP(tblRisk[[#This Row],[Likelihood of Control Failure after SG]],tblLikelihood[#Data],2,FALSE))</f>
        <v>1</v>
      </c>
      <c r="AW12" s="159">
        <f>tblRisk[[#This Row],[Impact to Mission]]</f>
        <v>2</v>
      </c>
      <c r="AX12" s="159">
        <f>tblRisk[[#This Row],[Impact to Objectives]]</f>
        <v>2</v>
      </c>
      <c r="AY12" s="159">
        <f>tblRisk[[#This Row],[Impact to Obligations]]</f>
        <v>2</v>
      </c>
      <c r="AZ12" s="166">
        <f>IF(ISBLANK(tblRisk[[#This Row],[Impact to Mission With Safeguard in Place]]),"",MAX(tblRisk[[#This Row],[Impact to Mission With Safeguard in Place]:[Impact to Obligations With Safeguard in Place]]))</f>
        <v>2</v>
      </c>
      <c r="BA12" s="167">
        <f>IF(ISERROR(tblRisk[[#This Row],[Impact Score with Safeguard in Place]]*tblRisk[[#This Row],[Likelihood Score with Safeguard in Place]]),"",tblRisk[[#This Row],[Impact Score with Safeguard in Place]]*tblRisk[[#This Row],[Likelihood Score with Safeguard in Place]])</f>
        <v>2</v>
      </c>
      <c r="BB12" s="164">
        <f>tblRisk[[#This Row],[Risk Score With Safeguard in Place]]</f>
        <v>2</v>
      </c>
      <c r="BC12" s="168" t="str">
        <f>IF(tblRisk[[#This Row],[Risk Treatment Option]]&lt;&gt;"Accept",IF(_xlfn.XLOOKUP(tblRisk[[#This Row],[Specific Safeguard Recommendation]],ProTrak[Task],ProTrak[Status],"Not Found")="Completed","Pending Validation","Pending"),"")</f>
        <v/>
      </c>
      <c r="BD12" s="169" t="str">
        <f>_xlfn.XLOOKUP(tblRisk[[#This Row],[Risk Treatment Program]],tblRiskTreatmentPrograms[Risk Treatment Program],tblRiskTreatmentPrograms[Estimated End Date (MM/DD/YYYY)],"")</f>
        <v/>
      </c>
      <c r="BE12" s="170"/>
      <c r="BF12" s="171" t="str">
        <f>_xlfn.IFNA(IF(tblRisk[[#This Row],[Due Date]]&lt;=vWhatIfQuarter,"Closed",""),"")</f>
        <v/>
      </c>
      <c r="BG12" s="171">
        <f>IF(tblRisk[[#This Row],[Scenario Builder Status]]="Closed",tblRisk[[#This Row],[Risk Score With Safeguard in Place]],tblRisk[[#This Row],[Risk Score]])</f>
        <v>2</v>
      </c>
      <c r="BH12" s="192" t="str">
        <f>tblRisk[[#This Row],[Common Security Program]]&amp;tblRisk[[#This Row],[Common Security Control]]&amp;tblRisk[[#This Row],[Asset Designation ]]</f>
        <v>Asset ManagementOperationApplications</v>
      </c>
      <c r="BI12" s="191"/>
      <c r="BJ12" s="191"/>
      <c r="BK12" s="191"/>
      <c r="BL12" s="191" t="s">
        <v>117</v>
      </c>
      <c r="BM12" s="191"/>
      <c r="BN12" s="191"/>
      <c r="BO12" s="191"/>
      <c r="BP12" s="191"/>
      <c r="BQ12" s="191"/>
    </row>
    <row r="13" spans="1:69" ht="110.25" x14ac:dyDescent="0.65">
      <c r="A13" s="160">
        <v>10</v>
      </c>
      <c r="B13" s="160" t="s">
        <v>899</v>
      </c>
      <c r="C13" s="19" t="s">
        <v>907</v>
      </c>
      <c r="D13" s="28" t="s">
        <v>1132</v>
      </c>
      <c r="E13" s="207" t="s">
        <v>1092</v>
      </c>
      <c r="F13" s="194"/>
      <c r="G13" s="194" t="s">
        <v>117</v>
      </c>
      <c r="H13" s="194" t="s">
        <v>117</v>
      </c>
      <c r="I13" s="194" t="s">
        <v>1081</v>
      </c>
      <c r="J13" s="194" t="s">
        <v>1081</v>
      </c>
      <c r="K13" s="194" t="s">
        <v>1081</v>
      </c>
      <c r="L13" s="194" t="s">
        <v>1081</v>
      </c>
      <c r="M13" s="194" t="s">
        <v>1081</v>
      </c>
      <c r="N13" s="194">
        <f>COUNTIF(tblRisk[[#This Row],[Defends Against Malware]:[Defends Against Targeted Intrusions]],"Yes")</f>
        <v>5</v>
      </c>
      <c r="O13" s="160" t="s">
        <v>17</v>
      </c>
      <c r="P13" s="160" t="s">
        <v>88</v>
      </c>
      <c r="Q13" s="160" t="s">
        <v>31</v>
      </c>
      <c r="R13" s="160" t="s">
        <v>1083</v>
      </c>
      <c r="S13" s="160" t="s">
        <v>1413</v>
      </c>
      <c r="T13" s="160" t="s">
        <v>1411</v>
      </c>
      <c r="U13" s="160" t="s">
        <v>1412</v>
      </c>
      <c r="V13" s="19" t="s">
        <v>1624</v>
      </c>
      <c r="W13" s="160" t="s">
        <v>1709</v>
      </c>
      <c r="X13" s="160" t="s">
        <v>1719</v>
      </c>
      <c r="Y13" s="151">
        <f>IF(ISBLANK(tblRisk[[#This Row],[Threat Cluster]]),"",_xlfn.XLOOKUP(tblRisk[[#This Row],[Threat Cluster]],tblHIT[Threat Cluster],tblHIT[Quintile]))</f>
        <v>1</v>
      </c>
      <c r="Z13" s="152">
        <v>4</v>
      </c>
      <c r="AA13" s="153" t="str">
        <f>IF(OR(ISBLANK(tblRisk[[#This Row],[HIT Quintile]]),ISBLANK(tblRisk[[#This Row],[Control Maturity]])),"",_xlfn.XLOOKUP(tblRisk[[#This Row],[Control Maturity]] &amp; tblRisk[[#This Row],[HIT Quintile]],tblHITWDI[Lookup],tblHITWDI[Likelihood Description]))</f>
        <v>Not Foreseeable</v>
      </c>
      <c r="AB13" s="161">
        <f>IF(ISERROR(tblRisk[[#This Row],[Likelihood of Control Failure]]),"",VLOOKUP(tblRisk[[#This Row],[Likelihood of Control Failure]],tblLikelihood[],2,FALSE))</f>
        <v>1</v>
      </c>
      <c r="AC13" s="154">
        <v>2</v>
      </c>
      <c r="AD13" s="155">
        <v>2</v>
      </c>
      <c r="AE13" s="155">
        <v>2</v>
      </c>
      <c r="AF13" s="162">
        <f>IF(ISBLANK(tblRisk[[#This Row],[Impact to Mission]]),"",MAX(tblRisk[[#This Row],[Impact to Mission]:[Impact to Obligations]]))</f>
        <v>2</v>
      </c>
      <c r="AG13" s="163">
        <f>IF(ISERROR(tblRisk[[#This Row],[Impact Score]]*tblRisk[[#This Row],[Likelihood Score]]),"",tblRisk[[#This Row],[Likelihood Score]]*tblRisk[[#This Row],[Impact Score]])</f>
        <v>2</v>
      </c>
      <c r="AH13" s="163">
        <f>tblRisk[[#This Row],[Risk Score]]</f>
        <v>2</v>
      </c>
      <c r="AI13" s="164">
        <f t="shared" si="0"/>
        <v>9</v>
      </c>
      <c r="AJ13" s="164">
        <f>IF(tblRisk[[#This Row],[Safeguard Status]]="In Place",tblRisk[[#This Row],[Control Maturity after SG]],tblRisk[[#This Row],[Control Maturity]])</f>
        <v>4</v>
      </c>
      <c r="AK13" s="173" t="str">
        <f>IF(tblRisk[[#This Row],[Safeguard Status]]="In Place",tblRisk[[#This Row],[Safeguard Threat Cluster]],tblRisk[[#This Row],[Threat Cluster]])</f>
        <v>Hacking Web</v>
      </c>
      <c r="AL13" s="164">
        <f>IF(tblRisk[[#This Row],[Safeguard Status]]="In Place",tblRisk[[#This Row],[Risk Level With Safeguard in Place]],tblRisk[[#This Row],[Risk Level]])</f>
        <v>2</v>
      </c>
      <c r="AM13" s="165" t="s">
        <v>1887</v>
      </c>
      <c r="AN13" s="165" t="str">
        <f>IF(tblRisk[[#This Row],[Risk Treatment Option]]="Manage",_xlfn.IFNA(INDEX(tblRiskTreatmentPrograms[#Data],MATCH(tblRisk[[#This Row],[Common Security Program]]&amp;tblRisk[[#This Row],[Common Security Control]],tblRiskTreatmentPrograms[Lookup],0),MATCH($AN$3,tblRiskTreatmentPrograms[#Headers],0)),txtBadRTP),"")</f>
        <v/>
      </c>
      <c r="AO13" s="165" t="str">
        <f>IF(tblRisk[[#This Row],[Risk Treatment Program]]="","",INDEX(tblRiskTreatmentPrograms[#Data],MATCH(tblRisk[[#This Row],[Risk Treatment Program]],tblRiskTreatmentPrograms[Risk Treatment Program],0),MATCH($AO$3,tblRiskTreatmentPrograms[#Headers],0)))</f>
        <v/>
      </c>
      <c r="AP13" s="165"/>
      <c r="AQ1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 s="19" t="str">
        <f>tblRisk[[#This Row],[Threat Cluster]]</f>
        <v>Hacking Web</v>
      </c>
      <c r="AS13" s="156">
        <f>IF(ISBLANK(tblRisk[[#This Row],[Safeguard Threat Cluster]]),"",_xlfn.XLOOKUP(tblRisk[[#This Row],[Safeguard Threat Cluster]],tblHIT[Threat Cluster],tblHIT[Quintile]))</f>
        <v>1</v>
      </c>
      <c r="AT13" s="157">
        <f>_xlfn.SWITCH(tblRisk[[#This Row],[Risk Treatment Option]],"Manage",tblRisk[[#This Row],[Control Maturity]]+1,tblRisk[[#This Row],[Control Maturity]])</f>
        <v>4</v>
      </c>
      <c r="AU13" s="158" t="str">
        <f>IF(OR(ISBLANK(tblRisk[[#This Row],[Safeguard HIT Quintile]]),ISBLANK(tblRisk[[#This Row],[Control Maturity after SG]])),"",_xlfn.XLOOKUP(tblRisk[[#This Row],[Control Maturity after SG]] &amp;tblRisk[[#This Row],[Safeguard HIT Quintile]],tblHITWDI[Lookup],tblHITWDI[Likelihood Description]))</f>
        <v>Not Foreseeable</v>
      </c>
      <c r="AV13" s="166">
        <f>IF(ISERROR(tblRisk[[#This Row],[Likelihood of Control Failure after SG]]),"",VLOOKUP(tblRisk[[#This Row],[Likelihood of Control Failure after SG]],tblLikelihood[#Data],2,FALSE))</f>
        <v>1</v>
      </c>
      <c r="AW13" s="159">
        <f>tblRisk[[#This Row],[Impact to Mission]]</f>
        <v>2</v>
      </c>
      <c r="AX13" s="159">
        <f>tblRisk[[#This Row],[Impact to Objectives]]</f>
        <v>2</v>
      </c>
      <c r="AY13" s="159">
        <f>tblRisk[[#This Row],[Impact to Obligations]]</f>
        <v>2</v>
      </c>
      <c r="AZ13" s="166">
        <f>IF(ISBLANK(tblRisk[[#This Row],[Impact to Mission With Safeguard in Place]]),"",MAX(tblRisk[[#This Row],[Impact to Mission With Safeguard in Place]:[Impact to Obligations With Safeguard in Place]]))</f>
        <v>2</v>
      </c>
      <c r="BA13" s="167">
        <f>IF(ISERROR(tblRisk[[#This Row],[Impact Score with Safeguard in Place]]*tblRisk[[#This Row],[Likelihood Score with Safeguard in Place]]),"",tblRisk[[#This Row],[Impact Score with Safeguard in Place]]*tblRisk[[#This Row],[Likelihood Score with Safeguard in Place]])</f>
        <v>2</v>
      </c>
      <c r="BB13" s="164">
        <f>tblRisk[[#This Row],[Risk Score With Safeguard in Place]]</f>
        <v>2</v>
      </c>
      <c r="BC13" s="168" t="str">
        <f>IF(tblRisk[[#This Row],[Risk Treatment Option]]&lt;&gt;"Accept",IF(_xlfn.XLOOKUP(tblRisk[[#This Row],[Specific Safeguard Recommendation]],ProTrak[Task],ProTrak[Status],"Not Found")="Completed","Pending Validation","Pending"),"")</f>
        <v/>
      </c>
      <c r="BD13" s="169" t="str">
        <f>_xlfn.XLOOKUP(tblRisk[[#This Row],[Risk Treatment Program]],tblRiskTreatmentPrograms[Risk Treatment Program],tblRiskTreatmentPrograms[Estimated End Date (MM/DD/YYYY)],"")</f>
        <v/>
      </c>
      <c r="BE13" s="170"/>
      <c r="BF13" s="171" t="str">
        <f>_xlfn.IFNA(IF(tblRisk[[#This Row],[Due Date]]&lt;=vWhatIfQuarter,"Closed",""),"")</f>
        <v/>
      </c>
      <c r="BG13" s="171">
        <f>IF(tblRisk[[#This Row],[Scenario Builder Status]]="Closed",tblRisk[[#This Row],[Risk Score With Safeguard in Place]],tblRisk[[#This Row],[Risk Score]])</f>
        <v>2</v>
      </c>
      <c r="BH13" s="192" t="str">
        <f>tblRisk[[#This Row],[Common Security Program]]&amp;tblRisk[[#This Row],[Common Security Control]]&amp;tblRisk[[#This Row],[Asset Designation ]]</f>
        <v>Asset ManagementOperationApplications</v>
      </c>
      <c r="BI13" s="191"/>
      <c r="BJ13" s="191"/>
      <c r="BK13" s="191"/>
      <c r="BL13" s="191" t="s">
        <v>117</v>
      </c>
      <c r="BM13" s="191"/>
      <c r="BN13" s="191"/>
      <c r="BO13" s="191"/>
      <c r="BP13" s="191"/>
      <c r="BQ13" s="191"/>
    </row>
    <row r="14" spans="1:69" ht="78.75" x14ac:dyDescent="0.65">
      <c r="A14" s="160">
        <v>11</v>
      </c>
      <c r="B14" s="160" t="s">
        <v>899</v>
      </c>
      <c r="C14" s="19" t="s">
        <v>908</v>
      </c>
      <c r="D14" s="28" t="s">
        <v>1133</v>
      </c>
      <c r="E14" s="207" t="s">
        <v>1092</v>
      </c>
      <c r="F14" s="194"/>
      <c r="G14" s="194" t="s">
        <v>117</v>
      </c>
      <c r="H14" s="194" t="s">
        <v>117</v>
      </c>
      <c r="I14" s="194" t="s">
        <v>1081</v>
      </c>
      <c r="J14" s="194" t="s">
        <v>1081</v>
      </c>
      <c r="K14" s="194" t="s">
        <v>1081</v>
      </c>
      <c r="L14" s="194" t="s">
        <v>1081</v>
      </c>
      <c r="M14" s="194" t="s">
        <v>1081</v>
      </c>
      <c r="N14" s="194">
        <f>COUNTIF(tblRisk[[#This Row],[Defends Against Malware]:[Defends Against Targeted Intrusions]],"Yes")</f>
        <v>5</v>
      </c>
      <c r="O14" s="160" t="s">
        <v>17</v>
      </c>
      <c r="P14" s="160" t="s">
        <v>88</v>
      </c>
      <c r="Q14" s="160" t="s">
        <v>31</v>
      </c>
      <c r="R14" s="160" t="s">
        <v>1083</v>
      </c>
      <c r="S14" s="160" t="s">
        <v>1413</v>
      </c>
      <c r="T14" s="160" t="s">
        <v>1411</v>
      </c>
      <c r="U14" s="160" t="s">
        <v>1412</v>
      </c>
      <c r="V14" s="19" t="s">
        <v>1623</v>
      </c>
      <c r="W14" s="160" t="s">
        <v>1709</v>
      </c>
      <c r="X14" s="160" t="s">
        <v>1720</v>
      </c>
      <c r="Y14" s="151">
        <f>IF(ISBLANK(tblRisk[[#This Row],[Threat Cluster]]),"",_xlfn.XLOOKUP(tblRisk[[#This Row],[Threat Cluster]],tblHIT[Threat Cluster],tblHIT[Quintile]))</f>
        <v>1</v>
      </c>
      <c r="Z14" s="152">
        <v>4</v>
      </c>
      <c r="AA14" s="153" t="str">
        <f>IF(OR(ISBLANK(tblRisk[[#This Row],[HIT Quintile]]),ISBLANK(tblRisk[[#This Row],[Control Maturity]])),"",_xlfn.XLOOKUP(tblRisk[[#This Row],[Control Maturity]] &amp; tblRisk[[#This Row],[HIT Quintile]],tblHITWDI[Lookup],tblHITWDI[Likelihood Description]))</f>
        <v>Not Foreseeable</v>
      </c>
      <c r="AB14" s="161">
        <f>IF(ISERROR(tblRisk[[#This Row],[Likelihood of Control Failure]]),"",VLOOKUP(tblRisk[[#This Row],[Likelihood of Control Failure]],tblLikelihood[],2,FALSE))</f>
        <v>1</v>
      </c>
      <c r="AC14" s="154">
        <v>2</v>
      </c>
      <c r="AD14" s="155">
        <v>2</v>
      </c>
      <c r="AE14" s="155">
        <v>2</v>
      </c>
      <c r="AF14" s="162">
        <f>IF(ISBLANK(tblRisk[[#This Row],[Impact to Mission]]),"",MAX(tblRisk[[#This Row],[Impact to Mission]:[Impact to Obligations]]))</f>
        <v>2</v>
      </c>
      <c r="AG14" s="163">
        <f>IF(ISERROR(tblRisk[[#This Row],[Impact Score]]*tblRisk[[#This Row],[Likelihood Score]]),"",tblRisk[[#This Row],[Likelihood Score]]*tblRisk[[#This Row],[Impact Score]])</f>
        <v>2</v>
      </c>
      <c r="AH14" s="163">
        <f>tblRisk[[#This Row],[Risk Score]]</f>
        <v>2</v>
      </c>
      <c r="AI14" s="164">
        <f t="shared" si="0"/>
        <v>9</v>
      </c>
      <c r="AJ14" s="164">
        <f>IF(tblRisk[[#This Row],[Safeguard Status]]="In Place",tblRisk[[#This Row],[Control Maturity after SG]],tblRisk[[#This Row],[Control Maturity]])</f>
        <v>4</v>
      </c>
      <c r="AK14" s="173" t="str">
        <f>IF(tblRisk[[#This Row],[Safeguard Status]]="In Place",tblRisk[[#This Row],[Safeguard Threat Cluster]],tblRisk[[#This Row],[Threat Cluster]])</f>
        <v>Hacking Web</v>
      </c>
      <c r="AL14" s="164">
        <f>IF(tblRisk[[#This Row],[Safeguard Status]]="In Place",tblRisk[[#This Row],[Risk Level With Safeguard in Place]],tblRisk[[#This Row],[Risk Level]])</f>
        <v>2</v>
      </c>
      <c r="AM14" s="165" t="s">
        <v>1887</v>
      </c>
      <c r="AN14" s="165" t="str">
        <f>IF(tblRisk[[#This Row],[Risk Treatment Option]]="Manage",_xlfn.IFNA(INDEX(tblRiskTreatmentPrograms[#Data],MATCH(tblRisk[[#This Row],[Common Security Program]]&amp;tblRisk[[#This Row],[Common Security Control]],tblRiskTreatmentPrograms[Lookup],0),MATCH($AN$3,tblRiskTreatmentPrograms[#Headers],0)),txtBadRTP),"")</f>
        <v/>
      </c>
      <c r="AO14" s="165" t="str">
        <f>IF(tblRisk[[#This Row],[Risk Treatment Program]]="","",INDEX(tblRiskTreatmentPrograms[#Data],MATCH(tblRisk[[#This Row],[Risk Treatment Program]],tblRiskTreatmentPrograms[Risk Treatment Program],0),MATCH($AO$3,tblRiskTreatmentPrograms[#Headers],0)))</f>
        <v/>
      </c>
      <c r="AP14" s="165"/>
      <c r="AQ1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 s="19" t="str">
        <f>tblRisk[[#This Row],[Threat Cluster]]</f>
        <v>Hacking Web</v>
      </c>
      <c r="AS14" s="156">
        <f>IF(ISBLANK(tblRisk[[#This Row],[Safeguard Threat Cluster]]),"",_xlfn.XLOOKUP(tblRisk[[#This Row],[Safeguard Threat Cluster]],tblHIT[Threat Cluster],tblHIT[Quintile]))</f>
        <v>1</v>
      </c>
      <c r="AT14" s="157">
        <f>_xlfn.SWITCH(tblRisk[[#This Row],[Risk Treatment Option]],"Manage",tblRisk[[#This Row],[Control Maturity]]+1,tblRisk[[#This Row],[Control Maturity]])</f>
        <v>4</v>
      </c>
      <c r="AU14" s="158" t="str">
        <f>IF(OR(ISBLANK(tblRisk[[#This Row],[Safeguard HIT Quintile]]),ISBLANK(tblRisk[[#This Row],[Control Maturity after SG]])),"",_xlfn.XLOOKUP(tblRisk[[#This Row],[Control Maturity after SG]] &amp;tblRisk[[#This Row],[Safeguard HIT Quintile]],tblHITWDI[Lookup],tblHITWDI[Likelihood Description]))</f>
        <v>Not Foreseeable</v>
      </c>
      <c r="AV14" s="166">
        <f>IF(ISERROR(tblRisk[[#This Row],[Likelihood of Control Failure after SG]]),"",VLOOKUP(tblRisk[[#This Row],[Likelihood of Control Failure after SG]],tblLikelihood[#Data],2,FALSE))</f>
        <v>1</v>
      </c>
      <c r="AW14" s="159">
        <f>tblRisk[[#This Row],[Impact to Mission]]</f>
        <v>2</v>
      </c>
      <c r="AX14" s="159">
        <f>tblRisk[[#This Row],[Impact to Objectives]]</f>
        <v>2</v>
      </c>
      <c r="AY14" s="159">
        <f>tblRisk[[#This Row],[Impact to Obligations]]</f>
        <v>2</v>
      </c>
      <c r="AZ14" s="166">
        <f>IF(ISBLANK(tblRisk[[#This Row],[Impact to Mission With Safeguard in Place]]),"",MAX(tblRisk[[#This Row],[Impact to Mission With Safeguard in Place]:[Impact to Obligations With Safeguard in Place]]))</f>
        <v>2</v>
      </c>
      <c r="BA14" s="167">
        <f>IF(ISERROR(tblRisk[[#This Row],[Impact Score with Safeguard in Place]]*tblRisk[[#This Row],[Likelihood Score with Safeguard in Place]]),"",tblRisk[[#This Row],[Impact Score with Safeguard in Place]]*tblRisk[[#This Row],[Likelihood Score with Safeguard in Place]])</f>
        <v>2</v>
      </c>
      <c r="BB14" s="164">
        <f>tblRisk[[#This Row],[Risk Score With Safeguard in Place]]</f>
        <v>2</v>
      </c>
      <c r="BC14" s="168" t="str">
        <f>IF(tblRisk[[#This Row],[Risk Treatment Option]]&lt;&gt;"Accept",IF(_xlfn.XLOOKUP(tblRisk[[#This Row],[Specific Safeguard Recommendation]],ProTrak[Task],ProTrak[Status],"Not Found")="Completed","Pending Validation","Pending"),"")</f>
        <v/>
      </c>
      <c r="BD14" s="169" t="str">
        <f>_xlfn.XLOOKUP(tblRisk[[#This Row],[Risk Treatment Program]],tblRiskTreatmentPrograms[Risk Treatment Program],tblRiskTreatmentPrograms[Estimated End Date (MM/DD/YYYY)],"")</f>
        <v/>
      </c>
      <c r="BE14" s="170"/>
      <c r="BF14" s="171" t="str">
        <f>_xlfn.IFNA(IF(tblRisk[[#This Row],[Due Date]]&lt;=vWhatIfQuarter,"Closed",""),"")</f>
        <v/>
      </c>
      <c r="BG14" s="171">
        <f>IF(tblRisk[[#This Row],[Scenario Builder Status]]="Closed",tblRisk[[#This Row],[Risk Score With Safeguard in Place]],tblRisk[[#This Row],[Risk Score]])</f>
        <v>2</v>
      </c>
      <c r="BH14" s="192" t="str">
        <f>tblRisk[[#This Row],[Common Security Program]]&amp;tblRisk[[#This Row],[Common Security Control]]&amp;tblRisk[[#This Row],[Asset Designation ]]</f>
        <v>Asset ManagementOperationApplications</v>
      </c>
      <c r="BI14" s="191"/>
      <c r="BJ14" s="191"/>
      <c r="BK14" s="191"/>
      <c r="BL14" s="191" t="s">
        <v>117</v>
      </c>
      <c r="BM14" s="191"/>
      <c r="BN14" s="191"/>
      <c r="BO14" s="191"/>
      <c r="BP14" s="191"/>
      <c r="BQ14" s="191"/>
    </row>
    <row r="15" spans="1:69" ht="78.75" x14ac:dyDescent="0.65">
      <c r="A15" s="160">
        <v>12</v>
      </c>
      <c r="B15" s="160" t="s">
        <v>899</v>
      </c>
      <c r="C15" s="19" t="s">
        <v>909</v>
      </c>
      <c r="D15" s="28" t="s">
        <v>1134</v>
      </c>
      <c r="E15" s="207" t="s">
        <v>1092</v>
      </c>
      <c r="F15" s="194"/>
      <c r="G15" s="194"/>
      <c r="H15" s="194" t="s">
        <v>117</v>
      </c>
      <c r="I15" s="194" t="s">
        <v>1081</v>
      </c>
      <c r="J15" s="194" t="s">
        <v>1081</v>
      </c>
      <c r="K15" s="194" t="s">
        <v>1081</v>
      </c>
      <c r="L15" s="194" t="s">
        <v>1081</v>
      </c>
      <c r="M15" s="194" t="s">
        <v>1081</v>
      </c>
      <c r="N15" s="194">
        <f>COUNTIF(tblRisk[[#This Row],[Defends Against Malware]:[Defends Against Targeted Intrusions]],"Yes")</f>
        <v>5</v>
      </c>
      <c r="O15" s="160" t="s">
        <v>17</v>
      </c>
      <c r="P15" s="160" t="s">
        <v>88</v>
      </c>
      <c r="Q15" s="160" t="s">
        <v>31</v>
      </c>
      <c r="R15" s="160" t="s">
        <v>1083</v>
      </c>
      <c r="S15" s="160" t="s">
        <v>1413</v>
      </c>
      <c r="T15" s="160" t="s">
        <v>1411</v>
      </c>
      <c r="U15" s="160" t="s">
        <v>1412</v>
      </c>
      <c r="V15" s="19" t="s">
        <v>1622</v>
      </c>
      <c r="W15" s="160" t="s">
        <v>1709</v>
      </c>
      <c r="X15" s="160" t="s">
        <v>1721</v>
      </c>
      <c r="Y15" s="151">
        <f>IF(ISBLANK(tblRisk[[#This Row],[Threat Cluster]]),"",_xlfn.XLOOKUP(tblRisk[[#This Row],[Threat Cluster]],tblHIT[Threat Cluster],tblHIT[Quintile]))</f>
        <v>1</v>
      </c>
      <c r="Z15" s="152">
        <v>4</v>
      </c>
      <c r="AA15" s="153" t="str">
        <f>IF(OR(ISBLANK(tblRisk[[#This Row],[HIT Quintile]]),ISBLANK(tblRisk[[#This Row],[Control Maturity]])),"",_xlfn.XLOOKUP(tblRisk[[#This Row],[Control Maturity]] &amp; tblRisk[[#This Row],[HIT Quintile]],tblHITWDI[Lookup],tblHITWDI[Likelihood Description]))</f>
        <v>Not Foreseeable</v>
      </c>
      <c r="AB15" s="161">
        <f>IF(ISERROR(tblRisk[[#This Row],[Likelihood of Control Failure]]),"",VLOOKUP(tblRisk[[#This Row],[Likelihood of Control Failure]],tblLikelihood[],2,FALSE))</f>
        <v>1</v>
      </c>
      <c r="AC15" s="154">
        <v>2</v>
      </c>
      <c r="AD15" s="155">
        <v>2</v>
      </c>
      <c r="AE15" s="155">
        <v>2</v>
      </c>
      <c r="AF15" s="162">
        <f>IF(ISBLANK(tblRisk[[#This Row],[Impact to Mission]]),"",MAX(tblRisk[[#This Row],[Impact to Mission]:[Impact to Obligations]]))</f>
        <v>2</v>
      </c>
      <c r="AG15" s="163">
        <f>IF(ISERROR(tblRisk[[#This Row],[Impact Score]]*tblRisk[[#This Row],[Likelihood Score]]),"",tblRisk[[#This Row],[Likelihood Score]]*tblRisk[[#This Row],[Impact Score]])</f>
        <v>2</v>
      </c>
      <c r="AH15" s="163">
        <f>tblRisk[[#This Row],[Risk Score]]</f>
        <v>2</v>
      </c>
      <c r="AI15" s="164">
        <f t="shared" si="0"/>
        <v>9</v>
      </c>
      <c r="AJ15" s="164">
        <f>IF(tblRisk[[#This Row],[Safeguard Status]]="In Place",tblRisk[[#This Row],[Control Maturity after SG]],tblRisk[[#This Row],[Control Maturity]])</f>
        <v>4</v>
      </c>
      <c r="AK15" s="173" t="str">
        <f>IF(tblRisk[[#This Row],[Safeguard Status]]="In Place",tblRisk[[#This Row],[Safeguard Threat Cluster]],tblRisk[[#This Row],[Threat Cluster]])</f>
        <v>Hacking Web</v>
      </c>
      <c r="AL15" s="164">
        <f>IF(tblRisk[[#This Row],[Safeguard Status]]="In Place",tblRisk[[#This Row],[Risk Level With Safeguard in Place]],tblRisk[[#This Row],[Risk Level]])</f>
        <v>2</v>
      </c>
      <c r="AM15" s="165" t="s">
        <v>1887</v>
      </c>
      <c r="AN15" s="165" t="str">
        <f>IF(tblRisk[[#This Row],[Risk Treatment Option]]="Manage",_xlfn.IFNA(INDEX(tblRiskTreatmentPrograms[#Data],MATCH(tblRisk[[#This Row],[Common Security Program]]&amp;tblRisk[[#This Row],[Common Security Control]],tblRiskTreatmentPrograms[Lookup],0),MATCH($AN$3,tblRiskTreatmentPrograms[#Headers],0)),txtBadRTP),"")</f>
        <v/>
      </c>
      <c r="AO15" s="165" t="str">
        <f>IF(tblRisk[[#This Row],[Risk Treatment Program]]="","",INDEX(tblRiskTreatmentPrograms[#Data],MATCH(tblRisk[[#This Row],[Risk Treatment Program]],tblRiskTreatmentPrograms[Risk Treatment Program],0),MATCH($AO$3,tblRiskTreatmentPrograms[#Headers],0)))</f>
        <v/>
      </c>
      <c r="AP15" s="165"/>
      <c r="AQ1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 s="19" t="str">
        <f>tblRisk[[#This Row],[Threat Cluster]]</f>
        <v>Hacking Web</v>
      </c>
      <c r="AS15" s="156">
        <f>IF(ISBLANK(tblRisk[[#This Row],[Safeguard Threat Cluster]]),"",_xlfn.XLOOKUP(tblRisk[[#This Row],[Safeguard Threat Cluster]],tblHIT[Threat Cluster],tblHIT[Quintile]))</f>
        <v>1</v>
      </c>
      <c r="AT15" s="157">
        <f>_xlfn.SWITCH(tblRisk[[#This Row],[Risk Treatment Option]],"Manage",tblRisk[[#This Row],[Control Maturity]]+1,tblRisk[[#This Row],[Control Maturity]])</f>
        <v>4</v>
      </c>
      <c r="AU15" s="158" t="str">
        <f>IF(OR(ISBLANK(tblRisk[[#This Row],[Safeguard HIT Quintile]]),ISBLANK(tblRisk[[#This Row],[Control Maturity after SG]])),"",_xlfn.XLOOKUP(tblRisk[[#This Row],[Control Maturity after SG]] &amp;tblRisk[[#This Row],[Safeguard HIT Quintile]],tblHITWDI[Lookup],tblHITWDI[Likelihood Description]))</f>
        <v>Not Foreseeable</v>
      </c>
      <c r="AV15" s="166">
        <f>IF(ISERROR(tblRisk[[#This Row],[Likelihood of Control Failure after SG]]),"",VLOOKUP(tblRisk[[#This Row],[Likelihood of Control Failure after SG]],tblLikelihood[#Data],2,FALSE))</f>
        <v>1</v>
      </c>
      <c r="AW15" s="159">
        <f>tblRisk[[#This Row],[Impact to Mission]]</f>
        <v>2</v>
      </c>
      <c r="AX15" s="159">
        <f>tblRisk[[#This Row],[Impact to Objectives]]</f>
        <v>2</v>
      </c>
      <c r="AY15" s="159">
        <f>tblRisk[[#This Row],[Impact to Obligations]]</f>
        <v>2</v>
      </c>
      <c r="AZ15" s="166">
        <f>IF(ISBLANK(tblRisk[[#This Row],[Impact to Mission With Safeguard in Place]]),"",MAX(tblRisk[[#This Row],[Impact to Mission With Safeguard in Place]:[Impact to Obligations With Safeguard in Place]]))</f>
        <v>2</v>
      </c>
      <c r="BA15" s="167">
        <f>IF(ISERROR(tblRisk[[#This Row],[Impact Score with Safeguard in Place]]*tblRisk[[#This Row],[Likelihood Score with Safeguard in Place]]),"",tblRisk[[#This Row],[Impact Score with Safeguard in Place]]*tblRisk[[#This Row],[Likelihood Score with Safeguard in Place]])</f>
        <v>2</v>
      </c>
      <c r="BB15" s="164">
        <f>tblRisk[[#This Row],[Risk Score With Safeguard in Place]]</f>
        <v>2</v>
      </c>
      <c r="BC15" s="168" t="str">
        <f>IF(tblRisk[[#This Row],[Risk Treatment Option]]&lt;&gt;"Accept",IF(_xlfn.XLOOKUP(tblRisk[[#This Row],[Specific Safeguard Recommendation]],ProTrak[Task],ProTrak[Status],"Not Found")="Completed","Pending Validation","Pending"),"")</f>
        <v/>
      </c>
      <c r="BD15" s="169" t="str">
        <f>_xlfn.XLOOKUP(tblRisk[[#This Row],[Risk Treatment Program]],tblRiskTreatmentPrograms[Risk Treatment Program],tblRiskTreatmentPrograms[Estimated End Date (MM/DD/YYYY)],"")</f>
        <v/>
      </c>
      <c r="BE15" s="170"/>
      <c r="BF15" s="171" t="str">
        <f>_xlfn.IFNA(IF(tblRisk[[#This Row],[Due Date]]&lt;=vWhatIfQuarter,"Closed",""),"")</f>
        <v/>
      </c>
      <c r="BG15" s="171">
        <f>IF(tblRisk[[#This Row],[Scenario Builder Status]]="Closed",tblRisk[[#This Row],[Risk Score With Safeguard in Place]],tblRisk[[#This Row],[Risk Score]])</f>
        <v>2</v>
      </c>
      <c r="BH15" s="192" t="str">
        <f>tblRisk[[#This Row],[Common Security Program]]&amp;tblRisk[[#This Row],[Common Security Control]]&amp;tblRisk[[#This Row],[Asset Designation ]]</f>
        <v>Asset ManagementOperationApplications</v>
      </c>
      <c r="BI15" s="191"/>
      <c r="BJ15" s="191"/>
      <c r="BK15" s="191"/>
      <c r="BL15" s="191" t="s">
        <v>117</v>
      </c>
      <c r="BM15" s="191"/>
      <c r="BN15" s="191"/>
      <c r="BO15" s="191"/>
      <c r="BP15" s="191"/>
      <c r="BQ15" s="191"/>
    </row>
    <row r="16" spans="1:69" ht="126" x14ac:dyDescent="0.65">
      <c r="A16" s="160">
        <v>13</v>
      </c>
      <c r="B16" s="160" t="s">
        <v>899</v>
      </c>
      <c r="C16" s="19" t="s">
        <v>1018</v>
      </c>
      <c r="D16" s="28" t="s">
        <v>1135</v>
      </c>
      <c r="E16" s="207" t="s">
        <v>1089</v>
      </c>
      <c r="F16" s="194" t="s">
        <v>117</v>
      </c>
      <c r="G16" s="194" t="s">
        <v>117</v>
      </c>
      <c r="H16" s="194" t="s">
        <v>117</v>
      </c>
      <c r="I16" s="194" t="s">
        <v>1081</v>
      </c>
      <c r="J16" s="194" t="s">
        <v>1081</v>
      </c>
      <c r="K16" s="194" t="s">
        <v>1081</v>
      </c>
      <c r="L16" s="194" t="s">
        <v>1081</v>
      </c>
      <c r="M16" s="194" t="s">
        <v>1081</v>
      </c>
      <c r="N16" s="194">
        <f>COUNTIF(tblRisk[[#This Row],[Defends Against Malware]:[Defends Against Targeted Intrusions]],"Yes")</f>
        <v>5</v>
      </c>
      <c r="O16" s="160" t="s">
        <v>11</v>
      </c>
      <c r="P16" s="160" t="s">
        <v>86</v>
      </c>
      <c r="Q16" s="160" t="s">
        <v>33</v>
      </c>
      <c r="R16" s="160" t="s">
        <v>1084</v>
      </c>
      <c r="S16" s="160" t="s">
        <v>1087</v>
      </c>
      <c r="T16" s="160" t="s">
        <v>1386</v>
      </c>
      <c r="U16" s="160" t="s">
        <v>1387</v>
      </c>
      <c r="V16" s="19" t="s">
        <v>1625</v>
      </c>
      <c r="W16" s="160" t="s">
        <v>1709</v>
      </c>
      <c r="X16" s="160" t="s">
        <v>1722</v>
      </c>
      <c r="Y16" s="151">
        <f>IF(ISBLANK(tblRisk[[#This Row],[Threat Cluster]]),"",_xlfn.XLOOKUP(tblRisk[[#This Row],[Threat Cluster]],tblHIT[Threat Cluster],tblHIT[Quintile]))</f>
        <v>2</v>
      </c>
      <c r="Z16" s="152">
        <v>5</v>
      </c>
      <c r="AA16" s="153" t="str">
        <f>IF(OR(ISBLANK(tblRisk[[#This Row],[HIT Quintile]]),ISBLANK(tblRisk[[#This Row],[Control Maturity]])),"",_xlfn.XLOOKUP(tblRisk[[#This Row],[Control Maturity]] &amp; tblRisk[[#This Row],[HIT Quintile]],tblHITWDI[Lookup],tblHITWDI[Likelihood Description]))</f>
        <v>Not Foreseeable</v>
      </c>
      <c r="AB16" s="161">
        <f>IF(ISERROR(tblRisk[[#This Row],[Likelihood of Control Failure]]),"",VLOOKUP(tblRisk[[#This Row],[Likelihood of Control Failure]],tblLikelihood[],2,FALSE))</f>
        <v>1</v>
      </c>
      <c r="AC16" s="154">
        <v>2</v>
      </c>
      <c r="AD16" s="155">
        <v>3</v>
      </c>
      <c r="AE16" s="155">
        <v>3</v>
      </c>
      <c r="AF16" s="162">
        <f>IF(ISBLANK(tblRisk[[#This Row],[Impact to Mission]]),"",MAX(tblRisk[[#This Row],[Impact to Mission]:[Impact to Obligations]]))</f>
        <v>3</v>
      </c>
      <c r="AG16" s="163">
        <f>IF(ISERROR(tblRisk[[#This Row],[Impact Score]]*tblRisk[[#This Row],[Likelihood Score]]),"",tblRisk[[#This Row],[Likelihood Score]]*tblRisk[[#This Row],[Impact Score]])</f>
        <v>3</v>
      </c>
      <c r="AH16" s="163">
        <f>tblRisk[[#This Row],[Risk Score]]</f>
        <v>3</v>
      </c>
      <c r="AI16" s="164">
        <f t="shared" si="0"/>
        <v>9</v>
      </c>
      <c r="AJ16" s="164">
        <f>IF(tblRisk[[#This Row],[Safeguard Status]]="In Place",tblRisk[[#This Row],[Control Maturity after SG]],tblRisk[[#This Row],[Control Maturity]])</f>
        <v>5</v>
      </c>
      <c r="AK16" s="173" t="str">
        <f>IF(tblRisk[[#This Row],[Safeguard Status]]="In Place",tblRisk[[#This Row],[Safeguard Threat Cluster]],tblRisk[[#This Row],[Threat Cluster]])</f>
        <v>Personnel Error</v>
      </c>
      <c r="AL16" s="164">
        <f>IF(tblRisk[[#This Row],[Safeguard Status]]="In Place",tblRisk[[#This Row],[Risk Level With Safeguard in Place]],tblRisk[[#This Row],[Risk Level]])</f>
        <v>3</v>
      </c>
      <c r="AM16" s="165" t="s">
        <v>1887</v>
      </c>
      <c r="AN16" s="165" t="str">
        <f>IF(tblRisk[[#This Row],[Risk Treatment Option]]="Manage",_xlfn.IFNA(INDEX(tblRiskTreatmentPrograms[#Data],MATCH(tblRisk[[#This Row],[Common Security Program]]&amp;tblRisk[[#This Row],[Common Security Control]],tblRiskTreatmentPrograms[Lookup],0),MATCH($AN$3,tblRiskTreatmentPrograms[#Headers],0)),txtBadRTP),"")</f>
        <v/>
      </c>
      <c r="AO16" s="165" t="str">
        <f>IF(tblRisk[[#This Row],[Risk Treatment Program]]="","",INDEX(tblRiskTreatmentPrograms[#Data],MATCH(tblRisk[[#This Row],[Risk Treatment Program]],tblRiskTreatmentPrograms[Risk Treatment Program],0),MATCH($AO$3,tblRiskTreatmentPrograms[#Headers],0)))</f>
        <v/>
      </c>
      <c r="AP16" s="165"/>
      <c r="AQ1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6" s="19" t="str">
        <f>tblRisk[[#This Row],[Threat Cluster]]</f>
        <v>Personnel Error</v>
      </c>
      <c r="AS16" s="156">
        <f>IF(ISBLANK(tblRisk[[#This Row],[Safeguard Threat Cluster]]),"",_xlfn.XLOOKUP(tblRisk[[#This Row],[Safeguard Threat Cluster]],tblHIT[Threat Cluster],tblHIT[Quintile]))</f>
        <v>2</v>
      </c>
      <c r="AT16" s="157">
        <f>_xlfn.SWITCH(tblRisk[[#This Row],[Risk Treatment Option]],"Manage",tblRisk[[#This Row],[Control Maturity]]+1,tblRisk[[#This Row],[Control Maturity]])</f>
        <v>5</v>
      </c>
      <c r="AU16" s="158" t="str">
        <f>IF(OR(ISBLANK(tblRisk[[#This Row],[Safeguard HIT Quintile]]),ISBLANK(tblRisk[[#This Row],[Control Maturity after SG]])),"",_xlfn.XLOOKUP(tblRisk[[#This Row],[Control Maturity after SG]] &amp;tblRisk[[#This Row],[Safeguard HIT Quintile]],tblHITWDI[Lookup],tblHITWDI[Likelihood Description]))</f>
        <v>Not Foreseeable</v>
      </c>
      <c r="AV16" s="166">
        <f>IF(ISERROR(tblRisk[[#This Row],[Likelihood of Control Failure after SG]]),"",VLOOKUP(tblRisk[[#This Row],[Likelihood of Control Failure after SG]],tblLikelihood[#Data],2,FALSE))</f>
        <v>1</v>
      </c>
      <c r="AW16" s="159">
        <f>tblRisk[[#This Row],[Impact to Mission]]</f>
        <v>2</v>
      </c>
      <c r="AX16" s="159">
        <f>tblRisk[[#This Row],[Impact to Objectives]]</f>
        <v>3</v>
      </c>
      <c r="AY16" s="159">
        <f>tblRisk[[#This Row],[Impact to Obligations]]</f>
        <v>3</v>
      </c>
      <c r="AZ16" s="166">
        <f>IF(ISBLANK(tblRisk[[#This Row],[Impact to Mission With Safeguard in Place]]),"",MAX(tblRisk[[#This Row],[Impact to Mission With Safeguard in Place]:[Impact to Obligations With Safeguard in Place]]))</f>
        <v>3</v>
      </c>
      <c r="BA16" s="167">
        <f>IF(ISERROR(tblRisk[[#This Row],[Impact Score with Safeguard in Place]]*tblRisk[[#This Row],[Likelihood Score with Safeguard in Place]]),"",tblRisk[[#This Row],[Impact Score with Safeguard in Place]]*tblRisk[[#This Row],[Likelihood Score with Safeguard in Place]])</f>
        <v>3</v>
      </c>
      <c r="BB16" s="164">
        <f>tblRisk[[#This Row],[Risk Score With Safeguard in Place]]</f>
        <v>3</v>
      </c>
      <c r="BC16" s="168" t="str">
        <f>IF(tblRisk[[#This Row],[Risk Treatment Option]]&lt;&gt;"Accept",IF(_xlfn.XLOOKUP(tblRisk[[#This Row],[Specific Safeguard Recommendation]],ProTrak[Task],ProTrak[Status],"Not Found")="Completed","Pending Validation","Pending"),"")</f>
        <v/>
      </c>
      <c r="BD16" s="169" t="str">
        <f>_xlfn.XLOOKUP(tblRisk[[#This Row],[Risk Treatment Program]],tblRiskTreatmentPrograms[Risk Treatment Program],tblRiskTreatmentPrograms[Estimated End Date (MM/DD/YYYY)],"")</f>
        <v/>
      </c>
      <c r="BE16" s="170"/>
      <c r="BF16" s="171" t="str">
        <f>_xlfn.IFNA(IF(tblRisk[[#This Row],[Due Date]]&lt;=vWhatIfQuarter,"Closed",""),"")</f>
        <v/>
      </c>
      <c r="BG16" s="171">
        <f>IF(tblRisk[[#This Row],[Scenario Builder Status]]="Closed",tblRisk[[#This Row],[Risk Score With Safeguard in Place]],tblRisk[[#This Row],[Risk Score]])</f>
        <v>3</v>
      </c>
      <c r="BH16" s="192" t="str">
        <f>tblRisk[[#This Row],[Common Security Program]]&amp;tblRisk[[#This Row],[Common Security Control]]&amp;tblRisk[[#This Row],[Asset Designation ]]</f>
        <v>Data Classification &amp; HandlingGovernanceData</v>
      </c>
      <c r="BI16" s="191"/>
      <c r="BJ16" s="191"/>
      <c r="BK16" s="191"/>
      <c r="BL16" s="191"/>
      <c r="BM16" s="191"/>
      <c r="BN16" s="191"/>
      <c r="BO16" s="191" t="s">
        <v>117</v>
      </c>
      <c r="BP16" s="191"/>
      <c r="BQ16" s="191"/>
    </row>
    <row r="17" spans="1:69" ht="94.5" x14ac:dyDescent="0.65">
      <c r="A17" s="160">
        <v>14</v>
      </c>
      <c r="B17" s="160" t="s">
        <v>899</v>
      </c>
      <c r="C17" s="19" t="s">
        <v>1019</v>
      </c>
      <c r="D17" s="28" t="s">
        <v>1136</v>
      </c>
      <c r="E17" s="207" t="s">
        <v>1089</v>
      </c>
      <c r="F17" s="194" t="s">
        <v>117</v>
      </c>
      <c r="G17" s="194" t="s">
        <v>117</v>
      </c>
      <c r="H17" s="194" t="s">
        <v>117</v>
      </c>
      <c r="I17" s="194" t="s">
        <v>1081</v>
      </c>
      <c r="J17" s="194" t="s">
        <v>1081</v>
      </c>
      <c r="K17" s="194" t="s">
        <v>1081</v>
      </c>
      <c r="L17" s="194" t="s">
        <v>1081</v>
      </c>
      <c r="M17" s="194" t="s">
        <v>1081</v>
      </c>
      <c r="N17" s="194">
        <f>COUNTIF(tblRisk[[#This Row],[Defends Against Malware]:[Defends Against Targeted Intrusions]],"Yes")</f>
        <v>5</v>
      </c>
      <c r="O17" s="160" t="s">
        <v>17</v>
      </c>
      <c r="P17" s="160" t="s">
        <v>86</v>
      </c>
      <c r="Q17" s="160" t="s">
        <v>33</v>
      </c>
      <c r="R17" s="160" t="s">
        <v>1084</v>
      </c>
      <c r="S17" s="160" t="s">
        <v>1087</v>
      </c>
      <c r="T17" s="160" t="s">
        <v>1409</v>
      </c>
      <c r="U17" s="19" t="s">
        <v>1904</v>
      </c>
      <c r="V17" s="160" t="s">
        <v>1570</v>
      </c>
      <c r="W17" s="160" t="s">
        <v>1709</v>
      </c>
      <c r="X17" s="160" t="s">
        <v>1723</v>
      </c>
      <c r="Y17" s="151">
        <f>IF(ISBLANK(tblRisk[[#This Row],[Threat Cluster]]),"",_xlfn.XLOOKUP(tblRisk[[#This Row],[Threat Cluster]],tblHIT[Threat Cluster],tblHIT[Quintile]))</f>
        <v>2</v>
      </c>
      <c r="Z17" s="152">
        <v>5</v>
      </c>
      <c r="AA17" s="153" t="str">
        <f>IF(OR(ISBLANK(tblRisk[[#This Row],[HIT Quintile]]),ISBLANK(tblRisk[[#This Row],[Control Maturity]])),"",_xlfn.XLOOKUP(tblRisk[[#This Row],[Control Maturity]] &amp; tblRisk[[#This Row],[HIT Quintile]],tblHITWDI[Lookup],tblHITWDI[Likelihood Description]))</f>
        <v>Not Foreseeable</v>
      </c>
      <c r="AB17" s="161">
        <f>IF(ISERROR(tblRisk[[#This Row],[Likelihood of Control Failure]]),"",VLOOKUP(tblRisk[[#This Row],[Likelihood of Control Failure]],tblLikelihood[],2,FALSE))</f>
        <v>1</v>
      </c>
      <c r="AC17" s="154">
        <v>2</v>
      </c>
      <c r="AD17" s="155">
        <v>3</v>
      </c>
      <c r="AE17" s="155">
        <v>3</v>
      </c>
      <c r="AF17" s="162">
        <f>IF(ISBLANK(tblRisk[[#This Row],[Impact to Mission]]),"",MAX(tblRisk[[#This Row],[Impact to Mission]:[Impact to Obligations]]))</f>
        <v>3</v>
      </c>
      <c r="AG17" s="163">
        <f>IF(ISERROR(tblRisk[[#This Row],[Impact Score]]*tblRisk[[#This Row],[Likelihood Score]]),"",tblRisk[[#This Row],[Likelihood Score]]*tblRisk[[#This Row],[Impact Score]])</f>
        <v>3</v>
      </c>
      <c r="AH17" s="163">
        <f>tblRisk[[#This Row],[Risk Score]]</f>
        <v>3</v>
      </c>
      <c r="AI17" s="164">
        <f t="shared" si="0"/>
        <v>9</v>
      </c>
      <c r="AJ17" s="164">
        <f>IF(tblRisk[[#This Row],[Safeguard Status]]="In Place",tblRisk[[#This Row],[Control Maturity after SG]],tblRisk[[#This Row],[Control Maturity]])</f>
        <v>5</v>
      </c>
      <c r="AK17" s="173" t="str">
        <f>IF(tblRisk[[#This Row],[Safeguard Status]]="In Place",tblRisk[[#This Row],[Safeguard Threat Cluster]],tblRisk[[#This Row],[Threat Cluster]])</f>
        <v>Personnel Error</v>
      </c>
      <c r="AL17" s="164">
        <f>IF(tblRisk[[#This Row],[Safeguard Status]]="In Place",tblRisk[[#This Row],[Risk Level With Safeguard in Place]],tblRisk[[#This Row],[Risk Level]])</f>
        <v>3</v>
      </c>
      <c r="AM17" s="165" t="s">
        <v>1887</v>
      </c>
      <c r="AN17" s="165" t="str">
        <f>IF(tblRisk[[#This Row],[Risk Treatment Option]]="Manage",_xlfn.IFNA(INDEX(tblRiskTreatmentPrograms[#Data],MATCH(tblRisk[[#This Row],[Common Security Program]]&amp;tblRisk[[#This Row],[Common Security Control]],tblRiskTreatmentPrograms[Lookup],0),MATCH($AN$3,tblRiskTreatmentPrograms[#Headers],0)),txtBadRTP),"")</f>
        <v/>
      </c>
      <c r="AO17" s="165" t="str">
        <f>IF(tblRisk[[#This Row],[Risk Treatment Program]]="","",INDEX(tblRiskTreatmentPrograms[#Data],MATCH(tblRisk[[#This Row],[Risk Treatment Program]],tblRiskTreatmentPrograms[Risk Treatment Program],0),MATCH($AO$3,tblRiskTreatmentPrograms[#Headers],0)))</f>
        <v/>
      </c>
      <c r="AP17" s="165"/>
      <c r="AQ1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7" s="19" t="str">
        <f>tblRisk[[#This Row],[Threat Cluster]]</f>
        <v>Personnel Error</v>
      </c>
      <c r="AS17" s="156">
        <f>IF(ISBLANK(tblRisk[[#This Row],[Safeguard Threat Cluster]]),"",_xlfn.XLOOKUP(tblRisk[[#This Row],[Safeguard Threat Cluster]],tblHIT[Threat Cluster],tblHIT[Quintile]))</f>
        <v>2</v>
      </c>
      <c r="AT17" s="157">
        <f>_xlfn.SWITCH(tblRisk[[#This Row],[Risk Treatment Option]],"Manage",tblRisk[[#This Row],[Control Maturity]]+1,tblRisk[[#This Row],[Control Maturity]])</f>
        <v>5</v>
      </c>
      <c r="AU17" s="158" t="str">
        <f>IF(OR(ISBLANK(tblRisk[[#This Row],[Safeguard HIT Quintile]]),ISBLANK(tblRisk[[#This Row],[Control Maturity after SG]])),"",_xlfn.XLOOKUP(tblRisk[[#This Row],[Control Maturity after SG]] &amp;tblRisk[[#This Row],[Safeguard HIT Quintile]],tblHITWDI[Lookup],tblHITWDI[Likelihood Description]))</f>
        <v>Not Foreseeable</v>
      </c>
      <c r="AV17" s="166">
        <f>IF(ISERROR(tblRisk[[#This Row],[Likelihood of Control Failure after SG]]),"",VLOOKUP(tblRisk[[#This Row],[Likelihood of Control Failure after SG]],tblLikelihood[#Data],2,FALSE))</f>
        <v>1</v>
      </c>
      <c r="AW17" s="159">
        <f>tblRisk[[#This Row],[Impact to Mission]]</f>
        <v>2</v>
      </c>
      <c r="AX17" s="159">
        <f>tblRisk[[#This Row],[Impact to Objectives]]</f>
        <v>3</v>
      </c>
      <c r="AY17" s="159">
        <f>tblRisk[[#This Row],[Impact to Obligations]]</f>
        <v>3</v>
      </c>
      <c r="AZ17" s="166">
        <f>IF(ISBLANK(tblRisk[[#This Row],[Impact to Mission With Safeguard in Place]]),"",MAX(tblRisk[[#This Row],[Impact to Mission With Safeguard in Place]:[Impact to Obligations With Safeguard in Place]]))</f>
        <v>3</v>
      </c>
      <c r="BA17" s="167">
        <f>IF(ISERROR(tblRisk[[#This Row],[Impact Score with Safeguard in Place]]*tblRisk[[#This Row],[Likelihood Score with Safeguard in Place]]),"",tblRisk[[#This Row],[Impact Score with Safeguard in Place]]*tblRisk[[#This Row],[Likelihood Score with Safeguard in Place]])</f>
        <v>3</v>
      </c>
      <c r="BB17" s="164">
        <f>tblRisk[[#This Row],[Risk Score With Safeguard in Place]]</f>
        <v>3</v>
      </c>
      <c r="BC17" s="168" t="str">
        <f>IF(tblRisk[[#This Row],[Risk Treatment Option]]&lt;&gt;"Accept",IF(_xlfn.XLOOKUP(tblRisk[[#This Row],[Specific Safeguard Recommendation]],ProTrak[Task],ProTrak[Status],"Not Found")="Completed","Pending Validation","Pending"),"")</f>
        <v/>
      </c>
      <c r="BD17" s="169" t="str">
        <f>_xlfn.XLOOKUP(tblRisk[[#This Row],[Risk Treatment Program]],tblRiskTreatmentPrograms[Risk Treatment Program],tblRiskTreatmentPrograms[Estimated End Date (MM/DD/YYYY)],"")</f>
        <v/>
      </c>
      <c r="BE17" s="170"/>
      <c r="BF17" s="171" t="str">
        <f>_xlfn.IFNA(IF(tblRisk[[#This Row],[Due Date]]&lt;=vWhatIfQuarter,"Closed",""),"")</f>
        <v/>
      </c>
      <c r="BG17" s="171">
        <f>IF(tblRisk[[#This Row],[Scenario Builder Status]]="Closed",tblRisk[[#This Row],[Risk Score With Safeguard in Place]],tblRisk[[#This Row],[Risk Score]])</f>
        <v>3</v>
      </c>
      <c r="BH17" s="192" t="str">
        <f>tblRisk[[#This Row],[Common Security Program]]&amp;tblRisk[[#This Row],[Common Security Control]]&amp;tblRisk[[#This Row],[Asset Designation ]]</f>
        <v>Asset ManagementGovernanceData</v>
      </c>
      <c r="BI17" s="191"/>
      <c r="BJ17" s="191"/>
      <c r="BK17" s="191"/>
      <c r="BL17" s="191"/>
      <c r="BM17" s="191"/>
      <c r="BN17" s="191"/>
      <c r="BO17" s="191" t="s">
        <v>117</v>
      </c>
      <c r="BP17" s="191"/>
      <c r="BQ17" s="191"/>
    </row>
    <row r="18" spans="1:69" ht="126" x14ac:dyDescent="0.65">
      <c r="A18" s="160">
        <v>15</v>
      </c>
      <c r="B18" s="160" t="s">
        <v>899</v>
      </c>
      <c r="C18" s="19" t="s">
        <v>910</v>
      </c>
      <c r="D18" s="28" t="s">
        <v>1137</v>
      </c>
      <c r="E18" s="207" t="s">
        <v>1092</v>
      </c>
      <c r="F18" s="194" t="s">
        <v>117</v>
      </c>
      <c r="G18" s="194" t="s">
        <v>117</v>
      </c>
      <c r="H18" s="194" t="s">
        <v>117</v>
      </c>
      <c r="I18" s="194" t="s">
        <v>1081</v>
      </c>
      <c r="J18" s="194" t="s">
        <v>1081</v>
      </c>
      <c r="K18" s="194" t="s">
        <v>1081</v>
      </c>
      <c r="L18" s="194" t="s">
        <v>1081</v>
      </c>
      <c r="M18" s="194" t="s">
        <v>1081</v>
      </c>
      <c r="N18" s="194">
        <f>COUNTIF(tblRisk[[#This Row],[Defends Against Malware]:[Defends Against Targeted Intrusions]],"Yes")</f>
        <v>5</v>
      </c>
      <c r="O18" s="160" t="s">
        <v>18</v>
      </c>
      <c r="P18" s="160" t="s">
        <v>88</v>
      </c>
      <c r="Q18" s="160" t="s">
        <v>33</v>
      </c>
      <c r="R18" s="160" t="s">
        <v>1084</v>
      </c>
      <c r="S18" s="160" t="s">
        <v>1418</v>
      </c>
      <c r="T18" s="160" t="s">
        <v>1416</v>
      </c>
      <c r="U18" s="160" t="s">
        <v>1417</v>
      </c>
      <c r="V18" s="160" t="s">
        <v>1571</v>
      </c>
      <c r="W18" s="160" t="s">
        <v>1709</v>
      </c>
      <c r="X18" s="160" t="s">
        <v>1724</v>
      </c>
      <c r="Y18" s="151">
        <f>IF(ISBLANK(tblRisk[[#This Row],[Threat Cluster]]),"",_xlfn.XLOOKUP(tblRisk[[#This Row],[Threat Cluster]],tblHIT[Threat Cluster],tblHIT[Quintile]))</f>
        <v>2</v>
      </c>
      <c r="Z18" s="152">
        <v>5</v>
      </c>
      <c r="AA18" s="153" t="str">
        <f>IF(OR(ISBLANK(tblRisk[[#This Row],[HIT Quintile]]),ISBLANK(tblRisk[[#This Row],[Control Maturity]])),"",_xlfn.XLOOKUP(tblRisk[[#This Row],[Control Maturity]] &amp; tblRisk[[#This Row],[HIT Quintile]],tblHITWDI[Lookup],tblHITWDI[Likelihood Description]))</f>
        <v>Not Foreseeable</v>
      </c>
      <c r="AB18" s="161">
        <f>IF(ISERROR(tblRisk[[#This Row],[Likelihood of Control Failure]]),"",VLOOKUP(tblRisk[[#This Row],[Likelihood of Control Failure]],tblLikelihood[],2,FALSE))</f>
        <v>1</v>
      </c>
      <c r="AC18" s="154">
        <v>2</v>
      </c>
      <c r="AD18" s="155">
        <v>3</v>
      </c>
      <c r="AE18" s="155">
        <v>3</v>
      </c>
      <c r="AF18" s="162">
        <f>IF(ISBLANK(tblRisk[[#This Row],[Impact to Mission]]),"",MAX(tblRisk[[#This Row],[Impact to Mission]:[Impact to Obligations]]))</f>
        <v>3</v>
      </c>
      <c r="AG18" s="163">
        <f>IF(ISERROR(tblRisk[[#This Row],[Impact Score]]*tblRisk[[#This Row],[Likelihood Score]]),"",tblRisk[[#This Row],[Likelihood Score]]*tblRisk[[#This Row],[Impact Score]])</f>
        <v>3</v>
      </c>
      <c r="AH18" s="163">
        <f>tblRisk[[#This Row],[Risk Score]]</f>
        <v>3</v>
      </c>
      <c r="AI18" s="164">
        <f t="shared" ref="AI18:AI43" si="1">valALR</f>
        <v>9</v>
      </c>
      <c r="AJ18" s="164">
        <f>IF(tblRisk[[#This Row],[Safeguard Status]]="In Place",tblRisk[[#This Row],[Control Maturity after SG]],tblRisk[[#This Row],[Control Maturity]])</f>
        <v>5</v>
      </c>
      <c r="AK18" s="173" t="str">
        <f>IF(tblRisk[[#This Row],[Safeguard Status]]="In Place",tblRisk[[#This Row],[Safeguard Threat Cluster]],tblRisk[[#This Row],[Threat Cluster]])</f>
        <v>Personnel Error</v>
      </c>
      <c r="AL18" s="164">
        <f>IF(tblRisk[[#This Row],[Safeguard Status]]="In Place",tblRisk[[#This Row],[Risk Level With Safeguard in Place]],tblRisk[[#This Row],[Risk Level]])</f>
        <v>3</v>
      </c>
      <c r="AM18" s="165" t="s">
        <v>1887</v>
      </c>
      <c r="AN18" s="165" t="str">
        <f>IF(tblRisk[[#This Row],[Risk Treatment Option]]="Manage",_xlfn.IFNA(INDEX(tblRiskTreatmentPrograms[#Data],MATCH(tblRisk[[#This Row],[Common Security Program]]&amp;tblRisk[[#This Row],[Common Security Control]],tblRiskTreatmentPrograms[Lookup],0),MATCH($AN$3,tblRiskTreatmentPrograms[#Headers],0)),txtBadRTP),"")</f>
        <v/>
      </c>
      <c r="AO18" s="165" t="str">
        <f>IF(tblRisk[[#This Row],[Risk Treatment Program]]="","",INDEX(tblRiskTreatmentPrograms[#Data],MATCH(tblRisk[[#This Row],[Risk Treatment Program]],tblRiskTreatmentPrograms[Risk Treatment Program],0),MATCH($AO$3,tblRiskTreatmentPrograms[#Headers],0)))</f>
        <v/>
      </c>
      <c r="AP18" s="165"/>
      <c r="AQ1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8" s="19" t="str">
        <f>tblRisk[[#This Row],[Threat Cluster]]</f>
        <v>Personnel Error</v>
      </c>
      <c r="AS18" s="156">
        <f>IF(ISBLANK(tblRisk[[#This Row],[Safeguard Threat Cluster]]),"",_xlfn.XLOOKUP(tblRisk[[#This Row],[Safeguard Threat Cluster]],tblHIT[Threat Cluster],tblHIT[Quintile]))</f>
        <v>2</v>
      </c>
      <c r="AT18" s="157">
        <f>_xlfn.SWITCH(tblRisk[[#This Row],[Risk Treatment Option]],"Manage",tblRisk[[#This Row],[Control Maturity]]+1,tblRisk[[#This Row],[Control Maturity]])</f>
        <v>5</v>
      </c>
      <c r="AU18" s="158" t="str">
        <f>IF(OR(ISBLANK(tblRisk[[#This Row],[Safeguard HIT Quintile]]),ISBLANK(tblRisk[[#This Row],[Control Maturity after SG]])),"",_xlfn.XLOOKUP(tblRisk[[#This Row],[Control Maturity after SG]] &amp;tblRisk[[#This Row],[Safeguard HIT Quintile]],tblHITWDI[Lookup],tblHITWDI[Likelihood Description]))</f>
        <v>Not Foreseeable</v>
      </c>
      <c r="AV18" s="166">
        <f>IF(ISERROR(tblRisk[[#This Row],[Likelihood of Control Failure after SG]]),"",VLOOKUP(tblRisk[[#This Row],[Likelihood of Control Failure after SG]],tblLikelihood[#Data],2,FALSE))</f>
        <v>1</v>
      </c>
      <c r="AW18" s="159">
        <f>tblRisk[[#This Row],[Impact to Mission]]</f>
        <v>2</v>
      </c>
      <c r="AX18" s="159">
        <f>tblRisk[[#This Row],[Impact to Objectives]]</f>
        <v>3</v>
      </c>
      <c r="AY18" s="159">
        <f>tblRisk[[#This Row],[Impact to Obligations]]</f>
        <v>3</v>
      </c>
      <c r="AZ18" s="166">
        <f>IF(ISBLANK(tblRisk[[#This Row],[Impact to Mission With Safeguard in Place]]),"",MAX(tblRisk[[#This Row],[Impact to Mission With Safeguard in Place]:[Impact to Obligations With Safeguard in Place]]))</f>
        <v>3</v>
      </c>
      <c r="BA18" s="167">
        <f>IF(ISERROR(tblRisk[[#This Row],[Impact Score with Safeguard in Place]]*tblRisk[[#This Row],[Likelihood Score with Safeguard in Place]]),"",tblRisk[[#This Row],[Impact Score with Safeguard in Place]]*tblRisk[[#This Row],[Likelihood Score with Safeguard in Place]])</f>
        <v>3</v>
      </c>
      <c r="BB18" s="164">
        <f>tblRisk[[#This Row],[Risk Score With Safeguard in Place]]</f>
        <v>3</v>
      </c>
      <c r="BC18" s="168" t="str">
        <f>IF(tblRisk[[#This Row],[Risk Treatment Option]]&lt;&gt;"Accept",IF(_xlfn.XLOOKUP(tblRisk[[#This Row],[Specific Safeguard Recommendation]],ProTrak[Task],ProTrak[Status],"Not Found")="Completed","Pending Validation","Pending"),"")</f>
        <v/>
      </c>
      <c r="BD18" s="169" t="str">
        <f>_xlfn.XLOOKUP(tblRisk[[#This Row],[Risk Treatment Program]],tblRiskTreatmentPrograms[Risk Treatment Program],tblRiskTreatmentPrograms[Estimated End Date (MM/DD/YYYY)],"")</f>
        <v/>
      </c>
      <c r="BE18" s="170"/>
      <c r="BF18" s="171" t="str">
        <f>_xlfn.IFNA(IF(tblRisk[[#This Row],[Due Date]]&lt;=vWhatIfQuarter,"Closed",""),"")</f>
        <v/>
      </c>
      <c r="BG18" s="171">
        <f>IF(tblRisk[[#This Row],[Scenario Builder Status]]="Closed",tblRisk[[#This Row],[Risk Score With Safeguard in Place]],tblRisk[[#This Row],[Risk Score]])</f>
        <v>3</v>
      </c>
      <c r="BH18" s="192" t="str">
        <f>tblRisk[[#This Row],[Common Security Program]]&amp;tblRisk[[#This Row],[Common Security Control]]&amp;tblRisk[[#This Row],[Asset Designation ]]</f>
        <v>Access ControlOperationData</v>
      </c>
      <c r="BI18" s="191"/>
      <c r="BJ18" s="191"/>
      <c r="BK18" s="191"/>
      <c r="BL18" s="191"/>
      <c r="BM18" s="191"/>
      <c r="BN18" s="191"/>
      <c r="BO18" s="191" t="s">
        <v>117</v>
      </c>
      <c r="BP18" s="191"/>
      <c r="BQ18" s="191"/>
    </row>
    <row r="19" spans="1:69" ht="110.25" x14ac:dyDescent="0.65">
      <c r="A19" s="160">
        <v>16</v>
      </c>
      <c r="B19" s="160" t="s">
        <v>899</v>
      </c>
      <c r="C19" s="19" t="s">
        <v>911</v>
      </c>
      <c r="D19" s="28" t="s">
        <v>1138</v>
      </c>
      <c r="E19" s="207" t="s">
        <v>1092</v>
      </c>
      <c r="F19" s="194" t="s">
        <v>117</v>
      </c>
      <c r="G19" s="194" t="s">
        <v>117</v>
      </c>
      <c r="H19" s="194" t="s">
        <v>117</v>
      </c>
      <c r="I19" s="194" t="s">
        <v>1081</v>
      </c>
      <c r="J19" s="194" t="s">
        <v>1081</v>
      </c>
      <c r="K19" s="194" t="s">
        <v>1081</v>
      </c>
      <c r="L19" s="194" t="s">
        <v>1081</v>
      </c>
      <c r="M19" s="194" t="s">
        <v>1081</v>
      </c>
      <c r="N19" s="194">
        <f>COUNTIF(tblRisk[[#This Row],[Defends Against Malware]:[Defends Against Targeted Intrusions]],"Yes")</f>
        <v>5</v>
      </c>
      <c r="O19" s="160" t="s">
        <v>11</v>
      </c>
      <c r="P19" s="160" t="s">
        <v>88</v>
      </c>
      <c r="Q19" s="160" t="s">
        <v>33</v>
      </c>
      <c r="R19" s="160" t="s">
        <v>1084</v>
      </c>
      <c r="S19" s="160" t="s">
        <v>1389</v>
      </c>
      <c r="T19" s="160" t="s">
        <v>1388</v>
      </c>
      <c r="U19" s="160" t="s">
        <v>1387</v>
      </c>
      <c r="V19" s="19" t="s">
        <v>1626</v>
      </c>
      <c r="W19" s="160" t="s">
        <v>1725</v>
      </c>
      <c r="X19" s="160" t="s">
        <v>1726</v>
      </c>
      <c r="Y19" s="151">
        <f>IF(ISBLANK(tblRisk[[#This Row],[Threat Cluster]]),"",_xlfn.XLOOKUP(tblRisk[[#This Row],[Threat Cluster]],tblHIT[Threat Cluster],tblHIT[Quintile]))</f>
        <v>2</v>
      </c>
      <c r="Z19" s="152">
        <v>3</v>
      </c>
      <c r="AA19" s="153" t="str">
        <f>IF(OR(ISBLANK(tblRisk[[#This Row],[HIT Quintile]]),ISBLANK(tblRisk[[#This Row],[Control Maturity]])),"",_xlfn.XLOOKUP(tblRisk[[#This Row],[Control Maturity]] &amp; tblRisk[[#This Row],[HIT Quintile]],tblHITWDI[Lookup],tblHITWDI[Likelihood Description]))</f>
        <v>Foreseeable, expected</v>
      </c>
      <c r="AB19" s="161">
        <f>IF(ISERROR(tblRisk[[#This Row],[Likelihood of Control Failure]]),"",VLOOKUP(tblRisk[[#This Row],[Likelihood of Control Failure]],tblLikelihood[],2,FALSE))</f>
        <v>3</v>
      </c>
      <c r="AC19" s="154">
        <v>2</v>
      </c>
      <c r="AD19" s="155">
        <v>3</v>
      </c>
      <c r="AE19" s="155">
        <v>3</v>
      </c>
      <c r="AF19" s="162">
        <f>IF(ISBLANK(tblRisk[[#This Row],[Impact to Mission]]),"",MAX(tblRisk[[#This Row],[Impact to Mission]:[Impact to Obligations]]))</f>
        <v>3</v>
      </c>
      <c r="AG19" s="163">
        <f>IF(ISERROR(tblRisk[[#This Row],[Impact Score]]*tblRisk[[#This Row],[Likelihood Score]]),"",tblRisk[[#This Row],[Likelihood Score]]*tblRisk[[#This Row],[Impact Score]])</f>
        <v>9</v>
      </c>
      <c r="AH19" s="163">
        <f>tblRisk[[#This Row],[Risk Score]]</f>
        <v>9</v>
      </c>
      <c r="AI19" s="164">
        <f t="shared" si="1"/>
        <v>9</v>
      </c>
      <c r="AJ19" s="164">
        <f>IF(tblRisk[[#This Row],[Safeguard Status]]="In Place",tblRisk[[#This Row],[Control Maturity after SG]],tblRisk[[#This Row],[Control Maturity]])</f>
        <v>4</v>
      </c>
      <c r="AK19" s="173" t="str">
        <f>IF(tblRisk[[#This Row],[Safeguard Status]]="In Place",tblRisk[[#This Row],[Safeguard Threat Cluster]],tblRisk[[#This Row],[Threat Cluster]])</f>
        <v>Personnel Error</v>
      </c>
      <c r="AL19" s="164">
        <f>IF(tblRisk[[#This Row],[Safeguard Status]]="In Place",tblRisk[[#This Row],[Risk Level With Safeguard in Place]],tblRisk[[#This Row],[Risk Level]])</f>
        <v>6</v>
      </c>
      <c r="AM19" s="165" t="s">
        <v>1564</v>
      </c>
      <c r="AN19"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Data Classification &amp; Handling</v>
      </c>
      <c r="AO19"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Information Security Data Classification &amp; Handling including:
 * implement unique Information Security controls based on classification of data including considerations for physical and electronic media, protection/encryption, storage, transmission, messaging, printing, retention, destruction, sharing, etc.;
 * reporting of Data Classification &amp; Handling performance metrics
</v>
      </c>
      <c r="AP19" s="165" t="s">
        <v>1888</v>
      </c>
      <c r="AQ1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9" s="19" t="str">
        <f>tblRisk[[#This Row],[Threat Cluster]]</f>
        <v>Personnel Error</v>
      </c>
      <c r="AS19" s="156">
        <f>IF(ISBLANK(tblRisk[[#This Row],[Safeguard Threat Cluster]]),"",_xlfn.XLOOKUP(tblRisk[[#This Row],[Safeguard Threat Cluster]],tblHIT[Threat Cluster],tblHIT[Quintile]))</f>
        <v>2</v>
      </c>
      <c r="AT19" s="157">
        <f>_xlfn.SWITCH(tblRisk[[#This Row],[Risk Treatment Option]],"Manage",tblRisk[[#This Row],[Control Maturity]]+1,tblRisk[[#This Row],[Control Maturity]])</f>
        <v>4</v>
      </c>
      <c r="AU1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9" s="166">
        <f>IF(ISERROR(tblRisk[[#This Row],[Likelihood of Control Failure after SG]]),"",VLOOKUP(tblRisk[[#This Row],[Likelihood of Control Failure after SG]],tblLikelihood[#Data],2,FALSE))</f>
        <v>2</v>
      </c>
      <c r="AW19" s="159">
        <f>tblRisk[[#This Row],[Impact to Mission]]</f>
        <v>2</v>
      </c>
      <c r="AX19" s="159">
        <f>tblRisk[[#This Row],[Impact to Objectives]]</f>
        <v>3</v>
      </c>
      <c r="AY19" s="159">
        <f>tblRisk[[#This Row],[Impact to Obligations]]</f>
        <v>3</v>
      </c>
      <c r="AZ19" s="166">
        <f>IF(ISBLANK(tblRisk[[#This Row],[Impact to Mission With Safeguard in Place]]),"",MAX(tblRisk[[#This Row],[Impact to Mission With Safeguard in Place]:[Impact to Obligations With Safeguard in Place]]))</f>
        <v>3</v>
      </c>
      <c r="BA19" s="167">
        <f>IF(ISERROR(tblRisk[[#This Row],[Impact Score with Safeguard in Place]]*tblRisk[[#This Row],[Likelihood Score with Safeguard in Place]]),"",tblRisk[[#This Row],[Impact Score with Safeguard in Place]]*tblRisk[[#This Row],[Likelihood Score with Safeguard in Place]])</f>
        <v>6</v>
      </c>
      <c r="BB19" s="164">
        <f>tblRisk[[#This Row],[Risk Score With Safeguard in Place]]</f>
        <v>6</v>
      </c>
      <c r="BC19" s="168" t="s">
        <v>620</v>
      </c>
      <c r="BD19" s="169" t="str">
        <f>_xlfn.XLOOKUP(tblRisk[[#This Row],[Risk Treatment Program]],tblRiskTreatmentPrograms[Risk Treatment Program],tblRiskTreatmentPrograms[Estimated End Date (MM/DD/YYYY)],"")</f>
        <v>TBD</v>
      </c>
      <c r="BE19" s="170"/>
      <c r="BF19" s="171" t="str">
        <f>_xlfn.IFNA(IF(tblRisk[[#This Row],[Due Date]]&lt;=vWhatIfQuarter,"Closed",""),"")</f>
        <v/>
      </c>
      <c r="BG19" s="171">
        <f>IF(tblRisk[[#This Row],[Scenario Builder Status]]="Closed",tblRisk[[#This Row],[Risk Score With Safeguard in Place]],tblRisk[[#This Row],[Risk Score]])</f>
        <v>9</v>
      </c>
      <c r="BH19" s="192" t="str">
        <f>tblRisk[[#This Row],[Common Security Program]]&amp;tblRisk[[#This Row],[Common Security Control]]&amp;tblRisk[[#This Row],[Asset Designation ]]</f>
        <v>Data Classification &amp; HandlingOperationData</v>
      </c>
      <c r="BI19" s="191"/>
      <c r="BJ19" s="191"/>
      <c r="BK19" s="191"/>
      <c r="BL19" s="191"/>
      <c r="BM19" s="191"/>
      <c r="BN19" s="191"/>
      <c r="BO19" s="191"/>
      <c r="BP19" s="191"/>
      <c r="BQ19" s="191" t="s">
        <v>117</v>
      </c>
    </row>
    <row r="20" spans="1:69" ht="110.25" x14ac:dyDescent="0.65">
      <c r="A20" s="160">
        <v>17</v>
      </c>
      <c r="B20" s="160" t="s">
        <v>899</v>
      </c>
      <c r="C20" s="19" t="s">
        <v>912</v>
      </c>
      <c r="D20" s="28" t="s">
        <v>1139</v>
      </c>
      <c r="E20" s="207" t="s">
        <v>1092</v>
      </c>
      <c r="F20" s="194" t="s">
        <v>117</v>
      </c>
      <c r="G20" s="194" t="s">
        <v>117</v>
      </c>
      <c r="H20" s="194" t="s">
        <v>117</v>
      </c>
      <c r="I20" s="194" t="s">
        <v>1080</v>
      </c>
      <c r="J20" s="194" t="s">
        <v>1080</v>
      </c>
      <c r="K20" s="194" t="s">
        <v>1080</v>
      </c>
      <c r="L20" s="194" t="s">
        <v>1080</v>
      </c>
      <c r="M20" s="194" t="s">
        <v>1081</v>
      </c>
      <c r="N20" s="194">
        <f>COUNTIF(tblRisk[[#This Row],[Defends Against Malware]:[Defends Against Targeted Intrusions]],"Yes")</f>
        <v>1</v>
      </c>
      <c r="O20" s="160" t="s">
        <v>28</v>
      </c>
      <c r="P20" s="160" t="s">
        <v>88</v>
      </c>
      <c r="Q20" s="160" t="s">
        <v>33</v>
      </c>
      <c r="R20" s="160" t="s">
        <v>1084</v>
      </c>
      <c r="S20" s="160" t="s">
        <v>1455</v>
      </c>
      <c r="T20" s="160" t="s">
        <v>1454</v>
      </c>
      <c r="U20" s="160" t="s">
        <v>1453</v>
      </c>
      <c r="V20" s="19" t="s">
        <v>1633</v>
      </c>
      <c r="W20" s="160" t="s">
        <v>1709</v>
      </c>
      <c r="X20" s="160" t="s">
        <v>1727</v>
      </c>
      <c r="Y20" s="151">
        <f>IF(ISBLANK(tblRisk[[#This Row],[Threat Cluster]]),"",_xlfn.XLOOKUP(tblRisk[[#This Row],[Threat Cluster]],tblHIT[Threat Cluster],tblHIT[Quintile]))</f>
        <v>2</v>
      </c>
      <c r="Z20" s="152">
        <v>4</v>
      </c>
      <c r="AA20" s="153" t="str">
        <f>IF(OR(ISBLANK(tblRisk[[#This Row],[HIT Quintile]]),ISBLANK(tblRisk[[#This Row],[Control Maturity]])),"",_xlfn.XLOOKUP(tblRisk[[#This Row],[Control Maturity]] &amp; tblRisk[[#This Row],[HIT Quintile]],tblHITWDI[Lookup],tblHITWDI[Likelihood Description]))</f>
        <v>Foreseeable, not expected</v>
      </c>
      <c r="AB20" s="161">
        <f>IF(ISERROR(tblRisk[[#This Row],[Likelihood of Control Failure]]),"",VLOOKUP(tblRisk[[#This Row],[Likelihood of Control Failure]],tblLikelihood[],2,FALSE))</f>
        <v>2</v>
      </c>
      <c r="AC20" s="154">
        <v>2</v>
      </c>
      <c r="AD20" s="155">
        <v>3</v>
      </c>
      <c r="AE20" s="155">
        <v>3</v>
      </c>
      <c r="AF20" s="162">
        <f>IF(ISBLANK(tblRisk[[#This Row],[Impact to Mission]]),"",MAX(tblRisk[[#This Row],[Impact to Mission]:[Impact to Obligations]]))</f>
        <v>3</v>
      </c>
      <c r="AG20" s="163">
        <f>IF(ISERROR(tblRisk[[#This Row],[Impact Score]]*tblRisk[[#This Row],[Likelihood Score]]),"",tblRisk[[#This Row],[Likelihood Score]]*tblRisk[[#This Row],[Impact Score]])</f>
        <v>6</v>
      </c>
      <c r="AH20" s="163">
        <f>tblRisk[[#This Row],[Risk Score]]</f>
        <v>6</v>
      </c>
      <c r="AI20" s="164">
        <f t="shared" si="1"/>
        <v>9</v>
      </c>
      <c r="AJ20" s="164">
        <f>IF(tblRisk[[#This Row],[Safeguard Status]]="In Place",tblRisk[[#This Row],[Control Maturity after SG]],tblRisk[[#This Row],[Control Maturity]])</f>
        <v>4</v>
      </c>
      <c r="AK20" s="173" t="str">
        <f>IF(tblRisk[[#This Row],[Safeguard Status]]="In Place",tblRisk[[#This Row],[Safeguard Threat Cluster]],tblRisk[[#This Row],[Threat Cluster]])</f>
        <v>Personnel Error</v>
      </c>
      <c r="AL20" s="164">
        <f>IF(tblRisk[[#This Row],[Safeguard Status]]="In Place",tblRisk[[#This Row],[Risk Level With Safeguard in Place]],tblRisk[[#This Row],[Risk Level]])</f>
        <v>6</v>
      </c>
      <c r="AM20" s="165" t="s">
        <v>1887</v>
      </c>
      <c r="AN20" s="165" t="str">
        <f>IF(tblRisk[[#This Row],[Risk Treatment Option]]="Manage",_xlfn.IFNA(INDEX(tblRiskTreatmentPrograms[#Data],MATCH(tblRisk[[#This Row],[Common Security Program]]&amp;tblRisk[[#This Row],[Common Security Control]],tblRiskTreatmentPrograms[Lookup],0),MATCH($AN$3,tblRiskTreatmentPrograms[#Headers],0)),txtBadRTP),"")</f>
        <v/>
      </c>
      <c r="AO20" s="165" t="str">
        <f>IF(tblRisk[[#This Row],[Risk Treatment Program]]="","",INDEX(tblRiskTreatmentPrograms[#Data],MATCH(tblRisk[[#This Row],[Risk Treatment Program]],tblRiskTreatmentPrograms[Risk Treatment Program],0),MATCH($AO$3,tblRiskTreatmentPrograms[#Headers],0)))</f>
        <v/>
      </c>
      <c r="AP20" s="165"/>
      <c r="AQ2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0" s="19" t="str">
        <f>tblRisk[[#This Row],[Threat Cluster]]</f>
        <v>Personnel Error</v>
      </c>
      <c r="AS20" s="156">
        <f>IF(ISBLANK(tblRisk[[#This Row],[Safeguard Threat Cluster]]),"",_xlfn.XLOOKUP(tblRisk[[#This Row],[Safeguard Threat Cluster]],tblHIT[Threat Cluster],tblHIT[Quintile]))</f>
        <v>2</v>
      </c>
      <c r="AT20" s="157">
        <f>_xlfn.SWITCH(tblRisk[[#This Row],[Risk Treatment Option]],"Manage",tblRisk[[#This Row],[Control Maturity]]+1,tblRisk[[#This Row],[Control Maturity]])</f>
        <v>4</v>
      </c>
      <c r="AU2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20" s="166">
        <f>IF(ISERROR(tblRisk[[#This Row],[Likelihood of Control Failure after SG]]),"",VLOOKUP(tblRisk[[#This Row],[Likelihood of Control Failure after SG]],tblLikelihood[#Data],2,FALSE))</f>
        <v>2</v>
      </c>
      <c r="AW20" s="159">
        <f>tblRisk[[#This Row],[Impact to Mission]]</f>
        <v>2</v>
      </c>
      <c r="AX20" s="159">
        <f>tblRisk[[#This Row],[Impact to Objectives]]</f>
        <v>3</v>
      </c>
      <c r="AY20" s="159">
        <f>tblRisk[[#This Row],[Impact to Obligations]]</f>
        <v>3</v>
      </c>
      <c r="AZ20" s="166">
        <f>IF(ISBLANK(tblRisk[[#This Row],[Impact to Mission With Safeguard in Place]]),"",MAX(tblRisk[[#This Row],[Impact to Mission With Safeguard in Place]:[Impact to Obligations With Safeguard in Place]]))</f>
        <v>3</v>
      </c>
      <c r="BA20" s="167">
        <f>IF(ISERROR(tblRisk[[#This Row],[Impact Score with Safeguard in Place]]*tblRisk[[#This Row],[Likelihood Score with Safeguard in Place]]),"",tblRisk[[#This Row],[Impact Score with Safeguard in Place]]*tblRisk[[#This Row],[Likelihood Score with Safeguard in Place]])</f>
        <v>6</v>
      </c>
      <c r="BB20" s="164">
        <f>tblRisk[[#This Row],[Risk Score With Safeguard in Place]]</f>
        <v>6</v>
      </c>
      <c r="BC20" s="168" t="str">
        <f>IF(tblRisk[[#This Row],[Risk Treatment Option]]&lt;&gt;"Accept",IF(_xlfn.XLOOKUP(tblRisk[[#This Row],[Specific Safeguard Recommendation]],ProTrak[Task],ProTrak[Status],"Not Found")="Completed","Pending Validation","Pending"),"")</f>
        <v/>
      </c>
      <c r="BD20" s="169" t="str">
        <f>_xlfn.XLOOKUP(tblRisk[[#This Row],[Risk Treatment Program]],tblRiskTreatmentPrograms[Risk Treatment Program],tblRiskTreatmentPrograms[Estimated End Date (MM/DD/YYYY)],"")</f>
        <v/>
      </c>
      <c r="BE20" s="170"/>
      <c r="BF20" s="171" t="str">
        <f>_xlfn.IFNA(IF(tblRisk[[#This Row],[Due Date]]&lt;=vWhatIfQuarter,"Closed",""),"")</f>
        <v/>
      </c>
      <c r="BG20" s="171">
        <f>IF(tblRisk[[#This Row],[Scenario Builder Status]]="Closed",tblRisk[[#This Row],[Risk Score With Safeguard in Place]],tblRisk[[#This Row],[Risk Score]])</f>
        <v>6</v>
      </c>
      <c r="BH20" s="192" t="str">
        <f>tblRisk[[#This Row],[Common Security Program]]&amp;tblRisk[[#This Row],[Common Security Control]]&amp;tblRisk[[#This Row],[Asset Designation ]]</f>
        <v>Media SecurityOperationData</v>
      </c>
      <c r="BI20" s="191"/>
      <c r="BJ20" s="191"/>
      <c r="BK20" s="191"/>
      <c r="BL20" s="191"/>
      <c r="BM20" s="191"/>
      <c r="BN20" s="191"/>
      <c r="BO20" s="191"/>
      <c r="BP20" s="191"/>
      <c r="BQ20" s="191" t="s">
        <v>117</v>
      </c>
    </row>
    <row r="21" spans="1:69" ht="110.25" x14ac:dyDescent="0.65">
      <c r="A21" s="160">
        <v>18</v>
      </c>
      <c r="B21" s="160" t="s">
        <v>899</v>
      </c>
      <c r="C21" s="19" t="s">
        <v>913</v>
      </c>
      <c r="D21" s="28" t="s">
        <v>1140</v>
      </c>
      <c r="E21" s="207" t="s">
        <v>1092</v>
      </c>
      <c r="F21" s="194" t="s">
        <v>117</v>
      </c>
      <c r="G21" s="194" t="s">
        <v>117</v>
      </c>
      <c r="H21" s="194" t="s">
        <v>117</v>
      </c>
      <c r="I21" s="194" t="s">
        <v>1080</v>
      </c>
      <c r="J21" s="194" t="s">
        <v>1080</v>
      </c>
      <c r="K21" s="194" t="s">
        <v>1080</v>
      </c>
      <c r="L21" s="194" t="s">
        <v>1080</v>
      </c>
      <c r="M21" s="194" t="s">
        <v>1081</v>
      </c>
      <c r="N21" s="194">
        <f>COUNTIF(tblRisk[[#This Row],[Defends Against Malware]:[Defends Against Targeted Intrusions]],"Yes")</f>
        <v>1</v>
      </c>
      <c r="O21" s="160" t="s">
        <v>28</v>
      </c>
      <c r="P21" s="160" t="s">
        <v>88</v>
      </c>
      <c r="Q21" s="160" t="s">
        <v>30</v>
      </c>
      <c r="R21" s="160" t="s">
        <v>1082</v>
      </c>
      <c r="S21" s="160" t="s">
        <v>1455</v>
      </c>
      <c r="T21" s="160" t="s">
        <v>1454</v>
      </c>
      <c r="U21" s="160" t="s">
        <v>1453</v>
      </c>
      <c r="V21" s="19" t="s">
        <v>1572</v>
      </c>
      <c r="W21" s="160" t="s">
        <v>1709</v>
      </c>
      <c r="X21" s="160" t="s">
        <v>1728</v>
      </c>
      <c r="Y21" s="151">
        <f>IF(ISBLANK(tblRisk[[#This Row],[Threat Cluster]]),"",_xlfn.XLOOKUP(tblRisk[[#This Row],[Threat Cluster]],tblHIT[Threat Cluster],tblHIT[Quintile]))</f>
        <v>2</v>
      </c>
      <c r="Z21" s="152">
        <v>5</v>
      </c>
      <c r="AA21" s="153" t="str">
        <f>IF(OR(ISBLANK(tblRisk[[#This Row],[HIT Quintile]]),ISBLANK(tblRisk[[#This Row],[Control Maturity]])),"",_xlfn.XLOOKUP(tblRisk[[#This Row],[Control Maturity]] &amp; tblRisk[[#This Row],[HIT Quintile]],tblHITWDI[Lookup],tblHITWDI[Likelihood Description]))</f>
        <v>Not Foreseeable</v>
      </c>
      <c r="AB21" s="161">
        <f>IF(ISERROR(tblRisk[[#This Row],[Likelihood of Control Failure]]),"",VLOOKUP(tblRisk[[#This Row],[Likelihood of Control Failure]],tblLikelihood[],2,FALSE))</f>
        <v>1</v>
      </c>
      <c r="AC21" s="154">
        <v>2</v>
      </c>
      <c r="AD21" s="155">
        <v>3</v>
      </c>
      <c r="AE21" s="155">
        <v>3</v>
      </c>
      <c r="AF21" s="162">
        <f>IF(ISBLANK(tblRisk[[#This Row],[Impact to Mission]]),"",MAX(tblRisk[[#This Row],[Impact to Mission]:[Impact to Obligations]]))</f>
        <v>3</v>
      </c>
      <c r="AG21" s="163">
        <f>IF(ISERROR(tblRisk[[#This Row],[Impact Score]]*tblRisk[[#This Row],[Likelihood Score]]),"",tblRisk[[#This Row],[Likelihood Score]]*tblRisk[[#This Row],[Impact Score]])</f>
        <v>3</v>
      </c>
      <c r="AH21" s="163">
        <f>tblRisk[[#This Row],[Risk Score]]</f>
        <v>3</v>
      </c>
      <c r="AI21" s="164">
        <f t="shared" si="1"/>
        <v>9</v>
      </c>
      <c r="AJ21" s="164">
        <f>IF(tblRisk[[#This Row],[Safeguard Status]]="In Place",tblRisk[[#This Row],[Control Maturity after SG]],tblRisk[[#This Row],[Control Maturity]])</f>
        <v>5</v>
      </c>
      <c r="AK21" s="173" t="str">
        <f>IF(tblRisk[[#This Row],[Safeguard Status]]="In Place",tblRisk[[#This Row],[Safeguard Threat Cluster]],tblRisk[[#This Row],[Threat Cluster]])</f>
        <v>Hacking System</v>
      </c>
      <c r="AL21" s="164">
        <f>IF(tblRisk[[#This Row],[Safeguard Status]]="In Place",tblRisk[[#This Row],[Risk Level With Safeguard in Place]],tblRisk[[#This Row],[Risk Level]])</f>
        <v>3</v>
      </c>
      <c r="AM21" s="165" t="s">
        <v>1887</v>
      </c>
      <c r="AN21" s="165" t="str">
        <f>IF(tblRisk[[#This Row],[Risk Treatment Option]]="Manage",_xlfn.IFNA(INDEX(tblRiskTreatmentPrograms[#Data],MATCH(tblRisk[[#This Row],[Common Security Program]]&amp;tblRisk[[#This Row],[Common Security Control]],tblRiskTreatmentPrograms[Lookup],0),MATCH($AN$3,tblRiskTreatmentPrograms[#Headers],0)),txtBadRTP),"")</f>
        <v/>
      </c>
      <c r="AO21" s="165" t="str">
        <f>IF(tblRisk[[#This Row],[Risk Treatment Program]]="","",INDEX(tblRiskTreatmentPrograms[#Data],MATCH(tblRisk[[#This Row],[Risk Treatment Program]],tblRiskTreatmentPrograms[Risk Treatment Program],0),MATCH($AO$3,tblRiskTreatmentPrograms[#Headers],0)))</f>
        <v/>
      </c>
      <c r="AP21" s="165"/>
      <c r="AQ2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1" s="19" t="str">
        <f>tblRisk[[#This Row],[Threat Cluster]]</f>
        <v>Hacking System</v>
      </c>
      <c r="AS21" s="156">
        <f>IF(ISBLANK(tblRisk[[#This Row],[Safeguard Threat Cluster]]),"",_xlfn.XLOOKUP(tblRisk[[#This Row],[Safeguard Threat Cluster]],tblHIT[Threat Cluster],tblHIT[Quintile]))</f>
        <v>2</v>
      </c>
      <c r="AT21" s="157">
        <f>_xlfn.SWITCH(tblRisk[[#This Row],[Risk Treatment Option]],"Manage",tblRisk[[#This Row],[Control Maturity]]+1,tblRisk[[#This Row],[Control Maturity]])</f>
        <v>5</v>
      </c>
      <c r="AU21" s="158" t="str">
        <f>IF(OR(ISBLANK(tblRisk[[#This Row],[Safeguard HIT Quintile]]),ISBLANK(tblRisk[[#This Row],[Control Maturity after SG]])),"",_xlfn.XLOOKUP(tblRisk[[#This Row],[Control Maturity after SG]] &amp;tblRisk[[#This Row],[Safeguard HIT Quintile]],tblHITWDI[Lookup],tblHITWDI[Likelihood Description]))</f>
        <v>Not Foreseeable</v>
      </c>
      <c r="AV21" s="166">
        <f>IF(ISERROR(tblRisk[[#This Row],[Likelihood of Control Failure after SG]]),"",VLOOKUP(tblRisk[[#This Row],[Likelihood of Control Failure after SG]],tblLikelihood[#Data],2,FALSE))</f>
        <v>1</v>
      </c>
      <c r="AW21" s="159">
        <f>tblRisk[[#This Row],[Impact to Mission]]</f>
        <v>2</v>
      </c>
      <c r="AX21" s="159">
        <f>tblRisk[[#This Row],[Impact to Objectives]]</f>
        <v>3</v>
      </c>
      <c r="AY21" s="159">
        <f>tblRisk[[#This Row],[Impact to Obligations]]</f>
        <v>3</v>
      </c>
      <c r="AZ21" s="166">
        <f>IF(ISBLANK(tblRisk[[#This Row],[Impact to Mission With Safeguard in Place]]),"",MAX(tblRisk[[#This Row],[Impact to Mission With Safeguard in Place]:[Impact to Obligations With Safeguard in Place]]))</f>
        <v>3</v>
      </c>
      <c r="BA21" s="167">
        <f>IF(ISERROR(tblRisk[[#This Row],[Impact Score with Safeguard in Place]]*tblRisk[[#This Row],[Likelihood Score with Safeguard in Place]]),"",tblRisk[[#This Row],[Impact Score with Safeguard in Place]]*tblRisk[[#This Row],[Likelihood Score with Safeguard in Place]])</f>
        <v>3</v>
      </c>
      <c r="BB21" s="164">
        <f>tblRisk[[#This Row],[Risk Score With Safeguard in Place]]</f>
        <v>3</v>
      </c>
      <c r="BC21" s="168" t="str">
        <f>IF(tblRisk[[#This Row],[Risk Treatment Option]]&lt;&gt;"Accept",IF(_xlfn.XLOOKUP(tblRisk[[#This Row],[Specific Safeguard Recommendation]],ProTrak[Task],ProTrak[Status],"Not Found")="Completed","Pending Validation","Pending"),"")</f>
        <v/>
      </c>
      <c r="BD21" s="169" t="str">
        <f>_xlfn.XLOOKUP(tblRisk[[#This Row],[Risk Treatment Program]],tblRiskTreatmentPrograms[Risk Treatment Program],tblRiskTreatmentPrograms[Estimated End Date (MM/DD/YYYY)],"")</f>
        <v/>
      </c>
      <c r="BE21" s="170"/>
      <c r="BF21" s="171" t="str">
        <f>_xlfn.IFNA(IF(tblRisk[[#This Row],[Due Date]]&lt;=vWhatIfQuarter,"Closed",""),"")</f>
        <v/>
      </c>
      <c r="BG21" s="171">
        <f>IF(tblRisk[[#This Row],[Scenario Builder Status]]="Closed",tblRisk[[#This Row],[Risk Score With Safeguard in Place]],tblRisk[[#This Row],[Risk Score]])</f>
        <v>3</v>
      </c>
      <c r="BH21" s="192" t="str">
        <f>tblRisk[[#This Row],[Common Security Program]]&amp;tblRisk[[#This Row],[Common Security Control]]&amp;tblRisk[[#This Row],[Asset Designation ]]</f>
        <v>Media SecurityOperationDevices</v>
      </c>
      <c r="BI21" s="191"/>
      <c r="BJ21" s="191"/>
      <c r="BK21" s="191"/>
      <c r="BL21" s="191"/>
      <c r="BM21" s="191"/>
      <c r="BN21" s="191"/>
      <c r="BO21" s="191"/>
      <c r="BP21" s="191"/>
      <c r="BQ21" s="191" t="s">
        <v>117</v>
      </c>
    </row>
    <row r="22" spans="1:69" ht="94.5" x14ac:dyDescent="0.65">
      <c r="A22" s="160">
        <v>19</v>
      </c>
      <c r="B22" s="160" t="s">
        <v>899</v>
      </c>
      <c r="C22" s="19" t="s">
        <v>1020</v>
      </c>
      <c r="D22" s="28" t="s">
        <v>1141</v>
      </c>
      <c r="E22" s="207" t="s">
        <v>1089</v>
      </c>
      <c r="F22" s="194"/>
      <c r="G22" s="194" t="s">
        <v>117</v>
      </c>
      <c r="H22" s="194" t="s">
        <v>117</v>
      </c>
      <c r="I22" s="194" t="s">
        <v>1080</v>
      </c>
      <c r="J22" s="194" t="s">
        <v>1080</v>
      </c>
      <c r="K22" s="194" t="s">
        <v>1080</v>
      </c>
      <c r="L22" s="194" t="s">
        <v>1080</v>
      </c>
      <c r="M22" s="194" t="s">
        <v>1080</v>
      </c>
      <c r="N22" s="194">
        <f>COUNTIF(tblRisk[[#This Row],[Defends Against Malware]:[Defends Against Targeted Intrusions]],"Yes")</f>
        <v>0</v>
      </c>
      <c r="O22" s="160" t="s">
        <v>11</v>
      </c>
      <c r="P22" s="160" t="s">
        <v>86</v>
      </c>
      <c r="Q22" s="160" t="s">
        <v>33</v>
      </c>
      <c r="R22" s="160" t="s">
        <v>1084</v>
      </c>
      <c r="S22" s="160" t="s">
        <v>1087</v>
      </c>
      <c r="T22" s="160" t="s">
        <v>1386</v>
      </c>
      <c r="U22" s="160" t="s">
        <v>1387</v>
      </c>
      <c r="V22" s="19" t="s">
        <v>1627</v>
      </c>
      <c r="W22" s="160" t="s">
        <v>1709</v>
      </c>
      <c r="X22" s="160" t="s">
        <v>1729</v>
      </c>
      <c r="Y22" s="151">
        <f>IF(ISBLANK(tblRisk[[#This Row],[Threat Cluster]]),"",_xlfn.XLOOKUP(tblRisk[[#This Row],[Threat Cluster]],tblHIT[Threat Cluster],tblHIT[Quintile]))</f>
        <v>2</v>
      </c>
      <c r="Z22" s="152">
        <v>5</v>
      </c>
      <c r="AA22" s="153" t="str">
        <f>IF(OR(ISBLANK(tblRisk[[#This Row],[HIT Quintile]]),ISBLANK(tblRisk[[#This Row],[Control Maturity]])),"",_xlfn.XLOOKUP(tblRisk[[#This Row],[Control Maturity]] &amp; tblRisk[[#This Row],[HIT Quintile]],tblHITWDI[Lookup],tblHITWDI[Likelihood Description]))</f>
        <v>Not Foreseeable</v>
      </c>
      <c r="AB22" s="161">
        <f>IF(ISERROR(tblRisk[[#This Row],[Likelihood of Control Failure]]),"",VLOOKUP(tblRisk[[#This Row],[Likelihood of Control Failure]],tblLikelihood[],2,FALSE))</f>
        <v>1</v>
      </c>
      <c r="AC22" s="154">
        <v>2</v>
      </c>
      <c r="AD22" s="155">
        <v>3</v>
      </c>
      <c r="AE22" s="155">
        <v>3</v>
      </c>
      <c r="AF22" s="162">
        <f>IF(ISBLANK(tblRisk[[#This Row],[Impact to Mission]]),"",MAX(tblRisk[[#This Row],[Impact to Mission]:[Impact to Obligations]]))</f>
        <v>3</v>
      </c>
      <c r="AG22" s="163">
        <f>IF(ISERROR(tblRisk[[#This Row],[Impact Score]]*tblRisk[[#This Row],[Likelihood Score]]),"",tblRisk[[#This Row],[Likelihood Score]]*tblRisk[[#This Row],[Impact Score]])</f>
        <v>3</v>
      </c>
      <c r="AH22" s="163">
        <f>tblRisk[[#This Row],[Risk Score]]</f>
        <v>3</v>
      </c>
      <c r="AI22" s="164">
        <f t="shared" si="1"/>
        <v>9</v>
      </c>
      <c r="AJ22" s="164">
        <f>IF(tblRisk[[#This Row],[Safeguard Status]]="In Place",tblRisk[[#This Row],[Control Maturity after SG]],tblRisk[[#This Row],[Control Maturity]])</f>
        <v>5</v>
      </c>
      <c r="AK22" s="173" t="str">
        <f>IF(tblRisk[[#This Row],[Safeguard Status]]="In Place",tblRisk[[#This Row],[Safeguard Threat Cluster]],tblRisk[[#This Row],[Threat Cluster]])</f>
        <v>Personnel Error</v>
      </c>
      <c r="AL22" s="164">
        <f>IF(tblRisk[[#This Row],[Safeguard Status]]="In Place",tblRisk[[#This Row],[Risk Level With Safeguard in Place]],tblRisk[[#This Row],[Risk Level]])</f>
        <v>3</v>
      </c>
      <c r="AM22" s="165" t="s">
        <v>1887</v>
      </c>
      <c r="AN22" s="165" t="str">
        <f>IF(tblRisk[[#This Row],[Risk Treatment Option]]="Manage",_xlfn.IFNA(INDEX(tblRiskTreatmentPrograms[#Data],MATCH(tblRisk[[#This Row],[Common Security Program]]&amp;tblRisk[[#This Row],[Common Security Control]],tblRiskTreatmentPrograms[Lookup],0),MATCH($AN$3,tblRiskTreatmentPrograms[#Headers],0)),txtBadRTP),"")</f>
        <v/>
      </c>
      <c r="AO22" s="165" t="str">
        <f>IF(tblRisk[[#This Row],[Risk Treatment Program]]="","",INDEX(tblRiskTreatmentPrograms[#Data],MATCH(tblRisk[[#This Row],[Risk Treatment Program]],tblRiskTreatmentPrograms[Risk Treatment Program],0),MATCH($AO$3,tblRiskTreatmentPrograms[#Headers],0)))</f>
        <v/>
      </c>
      <c r="AP22" s="165"/>
      <c r="AQ2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2" s="19" t="str">
        <f>tblRisk[[#This Row],[Threat Cluster]]</f>
        <v>Personnel Error</v>
      </c>
      <c r="AS22" s="156">
        <f>IF(ISBLANK(tblRisk[[#This Row],[Safeguard Threat Cluster]]),"",_xlfn.XLOOKUP(tblRisk[[#This Row],[Safeguard Threat Cluster]],tblHIT[Threat Cluster],tblHIT[Quintile]))</f>
        <v>2</v>
      </c>
      <c r="AT22" s="157">
        <f>_xlfn.SWITCH(tblRisk[[#This Row],[Risk Treatment Option]],"Manage",tblRisk[[#This Row],[Control Maturity]]+1,tblRisk[[#This Row],[Control Maturity]])</f>
        <v>5</v>
      </c>
      <c r="AU22" s="158" t="str">
        <f>IF(OR(ISBLANK(tblRisk[[#This Row],[Safeguard HIT Quintile]]),ISBLANK(tblRisk[[#This Row],[Control Maturity after SG]])),"",_xlfn.XLOOKUP(tblRisk[[#This Row],[Control Maturity after SG]] &amp;tblRisk[[#This Row],[Safeguard HIT Quintile]],tblHITWDI[Lookup],tblHITWDI[Likelihood Description]))</f>
        <v>Not Foreseeable</v>
      </c>
      <c r="AV22" s="166">
        <f>IF(ISERROR(tblRisk[[#This Row],[Likelihood of Control Failure after SG]]),"",VLOOKUP(tblRisk[[#This Row],[Likelihood of Control Failure after SG]],tblLikelihood[#Data],2,FALSE))</f>
        <v>1</v>
      </c>
      <c r="AW22" s="159">
        <f>tblRisk[[#This Row],[Impact to Mission]]</f>
        <v>2</v>
      </c>
      <c r="AX22" s="159">
        <f>tblRisk[[#This Row],[Impact to Objectives]]</f>
        <v>3</v>
      </c>
      <c r="AY22" s="159">
        <f>tblRisk[[#This Row],[Impact to Obligations]]</f>
        <v>3</v>
      </c>
      <c r="AZ22" s="166">
        <f>IF(ISBLANK(tblRisk[[#This Row],[Impact to Mission With Safeguard in Place]]),"",MAX(tblRisk[[#This Row],[Impact to Mission With Safeguard in Place]:[Impact to Obligations With Safeguard in Place]]))</f>
        <v>3</v>
      </c>
      <c r="BA22" s="167">
        <f>IF(ISERROR(tblRisk[[#This Row],[Impact Score with Safeguard in Place]]*tblRisk[[#This Row],[Likelihood Score with Safeguard in Place]]),"",tblRisk[[#This Row],[Impact Score with Safeguard in Place]]*tblRisk[[#This Row],[Likelihood Score with Safeguard in Place]])</f>
        <v>3</v>
      </c>
      <c r="BB22" s="164">
        <f>tblRisk[[#This Row],[Risk Score With Safeguard in Place]]</f>
        <v>3</v>
      </c>
      <c r="BC22" s="168" t="str">
        <f>IF(tblRisk[[#This Row],[Risk Treatment Option]]&lt;&gt;"Accept",IF(_xlfn.XLOOKUP(tblRisk[[#This Row],[Specific Safeguard Recommendation]],ProTrak[Task],ProTrak[Status],"Not Found")="Completed","Pending Validation","Pending"),"")</f>
        <v/>
      </c>
      <c r="BD22" s="169" t="str">
        <f>_xlfn.XLOOKUP(tblRisk[[#This Row],[Risk Treatment Program]],tblRiskTreatmentPrograms[Risk Treatment Program],tblRiskTreatmentPrograms[Estimated End Date (MM/DD/YYYY)],"")</f>
        <v/>
      </c>
      <c r="BE22" s="170"/>
      <c r="BF22" s="171" t="str">
        <f>_xlfn.IFNA(IF(tblRisk[[#This Row],[Due Date]]&lt;=vWhatIfQuarter,"Closed",""),"")</f>
        <v/>
      </c>
      <c r="BG22" s="171">
        <f>IF(tblRisk[[#This Row],[Scenario Builder Status]]="Closed",tblRisk[[#This Row],[Risk Score With Safeguard in Place]],tblRisk[[#This Row],[Risk Score]])</f>
        <v>3</v>
      </c>
      <c r="BH22" s="192" t="str">
        <f>tblRisk[[#This Row],[Common Security Program]]&amp;tblRisk[[#This Row],[Common Security Control]]&amp;tblRisk[[#This Row],[Asset Designation ]]</f>
        <v>Data Classification &amp; HandlingGovernanceData</v>
      </c>
      <c r="BI22" s="191"/>
      <c r="BJ22" s="191"/>
      <c r="BK22" s="191"/>
      <c r="BL22" s="191"/>
      <c r="BM22" s="191"/>
      <c r="BN22" s="191"/>
      <c r="BO22" s="191"/>
      <c r="BP22" s="191"/>
      <c r="BQ22" s="191"/>
    </row>
    <row r="23" spans="1:69" ht="78.75" x14ac:dyDescent="0.65">
      <c r="A23" s="160">
        <v>20</v>
      </c>
      <c r="B23" s="160" t="s">
        <v>899</v>
      </c>
      <c r="C23" s="19" t="s">
        <v>914</v>
      </c>
      <c r="D23" s="28" t="s">
        <v>1142</v>
      </c>
      <c r="E23" s="207" t="s">
        <v>1089</v>
      </c>
      <c r="F23" s="194"/>
      <c r="G23" s="194" t="s">
        <v>117</v>
      </c>
      <c r="H23" s="194" t="s">
        <v>117</v>
      </c>
      <c r="I23" s="194" t="s">
        <v>1080</v>
      </c>
      <c r="J23" s="194" t="s">
        <v>1080</v>
      </c>
      <c r="K23" s="194" t="s">
        <v>1080</v>
      </c>
      <c r="L23" s="194" t="s">
        <v>1080</v>
      </c>
      <c r="M23" s="194" t="s">
        <v>1080</v>
      </c>
      <c r="N23" s="194">
        <f>COUNTIF(tblRisk[[#This Row],[Defends Against Malware]:[Defends Against Targeted Intrusions]],"Yes")</f>
        <v>0</v>
      </c>
      <c r="O23" s="160" t="s">
        <v>11</v>
      </c>
      <c r="P23" s="160" t="s">
        <v>88</v>
      </c>
      <c r="Q23" s="160" t="s">
        <v>33</v>
      </c>
      <c r="R23" s="160" t="s">
        <v>1084</v>
      </c>
      <c r="S23" s="160" t="s">
        <v>1389</v>
      </c>
      <c r="T23" s="160" t="s">
        <v>1388</v>
      </c>
      <c r="U23" s="160" t="s">
        <v>1387</v>
      </c>
      <c r="V23" s="19" t="s">
        <v>1628</v>
      </c>
      <c r="W23" s="160" t="s">
        <v>1709</v>
      </c>
      <c r="X23" s="160" t="s">
        <v>1730</v>
      </c>
      <c r="Y23" s="151">
        <f>IF(ISBLANK(tblRisk[[#This Row],[Threat Cluster]]),"",_xlfn.XLOOKUP(tblRisk[[#This Row],[Threat Cluster]],tblHIT[Threat Cluster],tblHIT[Quintile]))</f>
        <v>2</v>
      </c>
      <c r="Z23" s="152">
        <v>5</v>
      </c>
      <c r="AA23" s="153" t="str">
        <f>IF(OR(ISBLANK(tblRisk[[#This Row],[HIT Quintile]]),ISBLANK(tblRisk[[#This Row],[Control Maturity]])),"",_xlfn.XLOOKUP(tblRisk[[#This Row],[Control Maturity]] &amp; tblRisk[[#This Row],[HIT Quintile]],tblHITWDI[Lookup],tblHITWDI[Likelihood Description]))</f>
        <v>Not Foreseeable</v>
      </c>
      <c r="AB23" s="161">
        <f>IF(ISERROR(tblRisk[[#This Row],[Likelihood of Control Failure]]),"",VLOOKUP(tblRisk[[#This Row],[Likelihood of Control Failure]],tblLikelihood[],2,FALSE))</f>
        <v>1</v>
      </c>
      <c r="AC23" s="154">
        <v>2</v>
      </c>
      <c r="AD23" s="155">
        <v>3</v>
      </c>
      <c r="AE23" s="155">
        <v>3</v>
      </c>
      <c r="AF23" s="162">
        <f>IF(ISBLANK(tblRisk[[#This Row],[Impact to Mission]]),"",MAX(tblRisk[[#This Row],[Impact to Mission]:[Impact to Obligations]]))</f>
        <v>3</v>
      </c>
      <c r="AG23" s="163">
        <f>IF(ISERROR(tblRisk[[#This Row],[Impact Score]]*tblRisk[[#This Row],[Likelihood Score]]),"",tblRisk[[#This Row],[Likelihood Score]]*tblRisk[[#This Row],[Impact Score]])</f>
        <v>3</v>
      </c>
      <c r="AH23" s="163">
        <f>tblRisk[[#This Row],[Risk Score]]</f>
        <v>3</v>
      </c>
      <c r="AI23" s="164">
        <f t="shared" si="1"/>
        <v>9</v>
      </c>
      <c r="AJ23" s="164">
        <f>IF(tblRisk[[#This Row],[Safeguard Status]]="In Place",tblRisk[[#This Row],[Control Maturity after SG]],tblRisk[[#This Row],[Control Maturity]])</f>
        <v>5</v>
      </c>
      <c r="AK23" s="173" t="str">
        <f>IF(tblRisk[[#This Row],[Safeguard Status]]="In Place",tblRisk[[#This Row],[Safeguard Threat Cluster]],tblRisk[[#This Row],[Threat Cluster]])</f>
        <v>Personnel Error</v>
      </c>
      <c r="AL23" s="164">
        <f>IF(tblRisk[[#This Row],[Safeguard Status]]="In Place",tblRisk[[#This Row],[Risk Level With Safeguard in Place]],tblRisk[[#This Row],[Risk Level]])</f>
        <v>3</v>
      </c>
      <c r="AM23" s="165" t="s">
        <v>1887</v>
      </c>
      <c r="AN23" s="165" t="str">
        <f>IF(tblRisk[[#This Row],[Risk Treatment Option]]="Manage",_xlfn.IFNA(INDEX(tblRiskTreatmentPrograms[#Data],MATCH(tblRisk[[#This Row],[Common Security Program]]&amp;tblRisk[[#This Row],[Common Security Control]],tblRiskTreatmentPrograms[Lookup],0),MATCH($AN$3,tblRiskTreatmentPrograms[#Headers],0)),txtBadRTP),"")</f>
        <v/>
      </c>
      <c r="AO23" s="165" t="str">
        <f>IF(tblRisk[[#This Row],[Risk Treatment Program]]="","",INDEX(tblRiskTreatmentPrograms[#Data],MATCH(tblRisk[[#This Row],[Risk Treatment Program]],tblRiskTreatmentPrograms[Risk Treatment Program],0),MATCH($AO$3,tblRiskTreatmentPrograms[#Headers],0)))</f>
        <v/>
      </c>
      <c r="AP23" s="165"/>
      <c r="AQ2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3" s="19" t="str">
        <f>tblRisk[[#This Row],[Threat Cluster]]</f>
        <v>Personnel Error</v>
      </c>
      <c r="AS23" s="156">
        <f>IF(ISBLANK(tblRisk[[#This Row],[Safeguard Threat Cluster]]),"",_xlfn.XLOOKUP(tblRisk[[#This Row],[Safeguard Threat Cluster]],tblHIT[Threat Cluster],tblHIT[Quintile]))</f>
        <v>2</v>
      </c>
      <c r="AT23" s="157">
        <f>_xlfn.SWITCH(tblRisk[[#This Row],[Risk Treatment Option]],"Manage",tblRisk[[#This Row],[Control Maturity]]+1,tblRisk[[#This Row],[Control Maturity]])</f>
        <v>5</v>
      </c>
      <c r="AU23" s="158" t="str">
        <f>IF(OR(ISBLANK(tblRisk[[#This Row],[Safeguard HIT Quintile]]),ISBLANK(tblRisk[[#This Row],[Control Maturity after SG]])),"",_xlfn.XLOOKUP(tblRisk[[#This Row],[Control Maturity after SG]] &amp;tblRisk[[#This Row],[Safeguard HIT Quintile]],tblHITWDI[Lookup],tblHITWDI[Likelihood Description]))</f>
        <v>Not Foreseeable</v>
      </c>
      <c r="AV23" s="166">
        <f>IF(ISERROR(tblRisk[[#This Row],[Likelihood of Control Failure after SG]]),"",VLOOKUP(tblRisk[[#This Row],[Likelihood of Control Failure after SG]],tblLikelihood[#Data],2,FALSE))</f>
        <v>1</v>
      </c>
      <c r="AW23" s="159">
        <f>tblRisk[[#This Row],[Impact to Mission]]</f>
        <v>2</v>
      </c>
      <c r="AX23" s="159">
        <f>tblRisk[[#This Row],[Impact to Objectives]]</f>
        <v>3</v>
      </c>
      <c r="AY23" s="159">
        <f>tblRisk[[#This Row],[Impact to Obligations]]</f>
        <v>3</v>
      </c>
      <c r="AZ23" s="166">
        <f>IF(ISBLANK(tblRisk[[#This Row],[Impact to Mission With Safeguard in Place]]),"",MAX(tblRisk[[#This Row],[Impact to Mission With Safeguard in Place]:[Impact to Obligations With Safeguard in Place]]))</f>
        <v>3</v>
      </c>
      <c r="BA23" s="167">
        <f>IF(ISERROR(tblRisk[[#This Row],[Impact Score with Safeguard in Place]]*tblRisk[[#This Row],[Likelihood Score with Safeguard in Place]]),"",tblRisk[[#This Row],[Impact Score with Safeguard in Place]]*tblRisk[[#This Row],[Likelihood Score with Safeguard in Place]])</f>
        <v>3</v>
      </c>
      <c r="BB23" s="164">
        <f>tblRisk[[#This Row],[Risk Score With Safeguard in Place]]</f>
        <v>3</v>
      </c>
      <c r="BC23" s="168" t="str">
        <f>IF(tblRisk[[#This Row],[Risk Treatment Option]]&lt;&gt;"Accept",IF(_xlfn.XLOOKUP(tblRisk[[#This Row],[Specific Safeguard Recommendation]],ProTrak[Task],ProTrak[Status],"Not Found")="Completed","Pending Validation","Pending"),"")</f>
        <v/>
      </c>
      <c r="BD23" s="169" t="str">
        <f>_xlfn.XLOOKUP(tblRisk[[#This Row],[Risk Treatment Program]],tblRiskTreatmentPrograms[Risk Treatment Program],tblRiskTreatmentPrograms[Estimated End Date (MM/DD/YYYY)],"")</f>
        <v/>
      </c>
      <c r="BE23" s="170"/>
      <c r="BF23" s="171" t="str">
        <f>_xlfn.IFNA(IF(tblRisk[[#This Row],[Due Date]]&lt;=vWhatIfQuarter,"Closed",""),"")</f>
        <v/>
      </c>
      <c r="BG23" s="171">
        <f>IF(tblRisk[[#This Row],[Scenario Builder Status]]="Closed",tblRisk[[#This Row],[Risk Score With Safeguard in Place]],tblRisk[[#This Row],[Risk Score]])</f>
        <v>3</v>
      </c>
      <c r="BH23" s="192" t="str">
        <f>tblRisk[[#This Row],[Common Security Program]]&amp;tblRisk[[#This Row],[Common Security Control]]&amp;tblRisk[[#This Row],[Asset Designation ]]</f>
        <v>Data Classification &amp; HandlingOperationData</v>
      </c>
      <c r="BI23" s="191"/>
      <c r="BJ23" s="191"/>
      <c r="BK23" s="191"/>
      <c r="BL23" s="191"/>
      <c r="BM23" s="191"/>
      <c r="BN23" s="191"/>
      <c r="BO23" s="191"/>
      <c r="BP23" s="191"/>
      <c r="BQ23" s="191"/>
    </row>
    <row r="24" spans="1:69" ht="110.25" x14ac:dyDescent="0.65">
      <c r="A24" s="160">
        <v>21</v>
      </c>
      <c r="B24" s="160" t="s">
        <v>899</v>
      </c>
      <c r="C24" s="19" t="s">
        <v>915</v>
      </c>
      <c r="D24" s="28" t="s">
        <v>1143</v>
      </c>
      <c r="E24" s="207" t="s">
        <v>1092</v>
      </c>
      <c r="F24" s="194"/>
      <c r="G24" s="194" t="s">
        <v>117</v>
      </c>
      <c r="H24" s="194" t="s">
        <v>117</v>
      </c>
      <c r="I24" s="194" t="s">
        <v>1080</v>
      </c>
      <c r="J24" s="194" t="s">
        <v>1080</v>
      </c>
      <c r="K24" s="194" t="s">
        <v>1080</v>
      </c>
      <c r="L24" s="194" t="s">
        <v>1080</v>
      </c>
      <c r="M24" s="194" t="s">
        <v>1081</v>
      </c>
      <c r="N24" s="194">
        <f>COUNTIF(tblRisk[[#This Row],[Defends Against Malware]:[Defends Against Targeted Intrusions]],"Yes")</f>
        <v>1</v>
      </c>
      <c r="O24" s="160" t="s">
        <v>28</v>
      </c>
      <c r="P24" s="160" t="s">
        <v>88</v>
      </c>
      <c r="Q24" s="160" t="s">
        <v>34</v>
      </c>
      <c r="R24" s="160" t="s">
        <v>1084</v>
      </c>
      <c r="S24" s="160" t="s">
        <v>1455</v>
      </c>
      <c r="T24" s="160" t="s">
        <v>1454</v>
      </c>
      <c r="U24" s="160" t="s">
        <v>1453</v>
      </c>
      <c r="V24" s="19" t="s">
        <v>1905</v>
      </c>
      <c r="W24" s="160" t="s">
        <v>1731</v>
      </c>
      <c r="X24" s="160" t="s">
        <v>1732</v>
      </c>
      <c r="Y24" s="151">
        <f>IF(ISBLANK(tblRisk[[#This Row],[Threat Cluster]]),"",_xlfn.XLOOKUP(tblRisk[[#This Row],[Threat Cluster]],tblHIT[Threat Cluster],tblHIT[Quintile]))</f>
        <v>2</v>
      </c>
      <c r="Z24" s="152">
        <v>3</v>
      </c>
      <c r="AA24" s="153" t="str">
        <f>IF(OR(ISBLANK(tblRisk[[#This Row],[HIT Quintile]]),ISBLANK(tblRisk[[#This Row],[Control Maturity]])),"",_xlfn.XLOOKUP(tblRisk[[#This Row],[Control Maturity]] &amp; tblRisk[[#This Row],[HIT Quintile]],tblHITWDI[Lookup],tblHITWDI[Likelihood Description]))</f>
        <v>Foreseeable, expected</v>
      </c>
      <c r="AB24" s="161">
        <f>IF(ISERROR(tblRisk[[#This Row],[Likelihood of Control Failure]]),"",VLOOKUP(tblRisk[[#This Row],[Likelihood of Control Failure]],tblLikelihood[],2,FALSE))</f>
        <v>3</v>
      </c>
      <c r="AC24" s="154">
        <v>2</v>
      </c>
      <c r="AD24" s="155">
        <v>3</v>
      </c>
      <c r="AE24" s="155">
        <v>3</v>
      </c>
      <c r="AF24" s="162">
        <f>IF(ISBLANK(tblRisk[[#This Row],[Impact to Mission]]),"",MAX(tblRisk[[#This Row],[Impact to Mission]:[Impact to Obligations]]))</f>
        <v>3</v>
      </c>
      <c r="AG24" s="163">
        <f>IF(ISERROR(tblRisk[[#This Row],[Impact Score]]*tblRisk[[#This Row],[Likelihood Score]]),"",tblRisk[[#This Row],[Likelihood Score]]*tblRisk[[#This Row],[Impact Score]])</f>
        <v>9</v>
      </c>
      <c r="AH24" s="163">
        <f>tblRisk[[#This Row],[Risk Score]]</f>
        <v>9</v>
      </c>
      <c r="AI24" s="164">
        <f t="shared" si="1"/>
        <v>9</v>
      </c>
      <c r="AJ24" s="164">
        <f>IF(tblRisk[[#This Row],[Safeguard Status]]="In Place",tblRisk[[#This Row],[Control Maturity after SG]],tblRisk[[#This Row],[Control Maturity]])</f>
        <v>3</v>
      </c>
      <c r="AK24" s="173" t="str">
        <f>IF(tblRisk[[#This Row],[Safeguard Status]]="In Place",tblRisk[[#This Row],[Safeguard Threat Cluster]],tblRisk[[#This Row],[Threat Cluster]])</f>
        <v>Personnel Misuse</v>
      </c>
      <c r="AL24" s="164">
        <f>IF(tblRisk[[#This Row],[Safeguard Status]]="In Place",tblRisk[[#This Row],[Risk Level With Safeguard in Place]],tblRisk[[#This Row],[Risk Level]])</f>
        <v>9</v>
      </c>
      <c r="AM24" s="165" t="s">
        <v>1564</v>
      </c>
      <c r="AN24"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Media Security</v>
      </c>
      <c r="AO24"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Media Security including:
 * ensure physical and removable equipment are secured prior to reuse or disposal using industry best practice techniques;
 * ensure physical media is secure when not in use;
 * reporting of Media Security performance metrics
</v>
      </c>
      <c r="AP24" s="165" t="s">
        <v>1889</v>
      </c>
      <c r="AQ2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24" s="19" t="str">
        <f>tblRisk[[#This Row],[Threat Cluster]]</f>
        <v>Personnel Misuse</v>
      </c>
      <c r="AS24" s="156">
        <f>IF(ISBLANK(tblRisk[[#This Row],[Safeguard Threat Cluster]]),"",_xlfn.XLOOKUP(tblRisk[[#This Row],[Safeguard Threat Cluster]],tblHIT[Threat Cluster],tblHIT[Quintile]))</f>
        <v>2</v>
      </c>
      <c r="AT24" s="157">
        <f>_xlfn.SWITCH(tblRisk[[#This Row],[Risk Treatment Option]],"Manage",tblRisk[[#This Row],[Control Maturity]]+1,tblRisk[[#This Row],[Control Maturity]])</f>
        <v>4</v>
      </c>
      <c r="AU2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24" s="166">
        <f>IF(ISERROR(tblRisk[[#This Row],[Likelihood of Control Failure after SG]]),"",VLOOKUP(tblRisk[[#This Row],[Likelihood of Control Failure after SG]],tblLikelihood[#Data],2,FALSE))</f>
        <v>2</v>
      </c>
      <c r="AW24" s="159">
        <f>tblRisk[[#This Row],[Impact to Mission]]</f>
        <v>2</v>
      </c>
      <c r="AX24" s="159">
        <f>tblRisk[[#This Row],[Impact to Objectives]]</f>
        <v>3</v>
      </c>
      <c r="AY24" s="159">
        <f>tblRisk[[#This Row],[Impact to Obligations]]</f>
        <v>3</v>
      </c>
      <c r="AZ24" s="166">
        <f>IF(ISBLANK(tblRisk[[#This Row],[Impact to Mission With Safeguard in Place]]),"",MAX(tblRisk[[#This Row],[Impact to Mission With Safeguard in Place]:[Impact to Obligations With Safeguard in Place]]))</f>
        <v>3</v>
      </c>
      <c r="BA24" s="167">
        <f>IF(ISERROR(tblRisk[[#This Row],[Impact Score with Safeguard in Place]]*tblRisk[[#This Row],[Likelihood Score with Safeguard in Place]]),"",tblRisk[[#This Row],[Impact Score with Safeguard in Place]]*tblRisk[[#This Row],[Likelihood Score with Safeguard in Place]])</f>
        <v>6</v>
      </c>
      <c r="BB24" s="164">
        <f>tblRisk[[#This Row],[Risk Score With Safeguard in Place]]</f>
        <v>6</v>
      </c>
      <c r="BC24" s="168" t="str">
        <f>IF(tblRisk[[#This Row],[Risk Treatment Option]]&lt;&gt;"Accept",IF(_xlfn.XLOOKUP(tblRisk[[#This Row],[Specific Safeguard Recommendation]],ProTrak[Task],ProTrak[Status],"Not Found")="Completed","Pending Validation","Pending"),"")</f>
        <v>Pending</v>
      </c>
      <c r="BD24" s="169" t="str">
        <f>_xlfn.XLOOKUP(tblRisk[[#This Row],[Risk Treatment Program]],tblRiskTreatmentPrograms[Risk Treatment Program],tblRiskTreatmentPrograms[Estimated End Date (MM/DD/YYYY)],"")</f>
        <v>TBD</v>
      </c>
      <c r="BE24" s="170"/>
      <c r="BF24" s="171" t="str">
        <f>_xlfn.IFNA(IF(tblRisk[[#This Row],[Due Date]]&lt;=vWhatIfQuarter,"Closed",""),"")</f>
        <v/>
      </c>
      <c r="BG24" s="171">
        <f>IF(tblRisk[[#This Row],[Scenario Builder Status]]="Closed",tblRisk[[#This Row],[Risk Score With Safeguard in Place]],tblRisk[[#This Row],[Risk Score]])</f>
        <v>9</v>
      </c>
      <c r="BH24" s="192" t="str">
        <f>tblRisk[[#This Row],[Common Security Program]]&amp;tblRisk[[#This Row],[Common Security Control]]&amp;tblRisk[[#This Row],[Asset Designation ]]</f>
        <v>Media SecurityOperationData</v>
      </c>
      <c r="BI24" s="191"/>
      <c r="BJ24" s="191"/>
      <c r="BK24" s="191"/>
      <c r="BL24" s="191"/>
      <c r="BM24" s="191"/>
      <c r="BN24" s="191"/>
      <c r="BO24" s="191"/>
      <c r="BP24" s="191"/>
      <c r="BQ24" s="191" t="s">
        <v>117</v>
      </c>
    </row>
    <row r="25" spans="1:69" ht="126" x14ac:dyDescent="0.65">
      <c r="A25" s="160">
        <v>22</v>
      </c>
      <c r="B25" s="160" t="s">
        <v>899</v>
      </c>
      <c r="C25" s="19" t="s">
        <v>916</v>
      </c>
      <c r="D25" s="28" t="s">
        <v>1144</v>
      </c>
      <c r="E25" s="207" t="s">
        <v>1092</v>
      </c>
      <c r="F25" s="194"/>
      <c r="G25" s="194" t="s">
        <v>117</v>
      </c>
      <c r="H25" s="194" t="s">
        <v>117</v>
      </c>
      <c r="I25" s="194" t="s">
        <v>1081</v>
      </c>
      <c r="J25" s="194" t="s">
        <v>1081</v>
      </c>
      <c r="K25" s="194" t="s">
        <v>1081</v>
      </c>
      <c r="L25" s="194" t="s">
        <v>1081</v>
      </c>
      <c r="M25" s="194" t="s">
        <v>1081</v>
      </c>
      <c r="N25" s="194">
        <f>COUNTIF(tblRisk[[#This Row],[Defends Against Malware]:[Defends Against Targeted Intrusions]],"Yes")</f>
        <v>5</v>
      </c>
      <c r="O25" s="160" t="s">
        <v>24</v>
      </c>
      <c r="P25" s="160" t="s">
        <v>88</v>
      </c>
      <c r="Q25" s="160" t="s">
        <v>31</v>
      </c>
      <c r="R25" s="160" t="s">
        <v>1084</v>
      </c>
      <c r="S25" s="160" t="s">
        <v>1444</v>
      </c>
      <c r="T25" s="160" t="s">
        <v>1443</v>
      </c>
      <c r="U25" s="160" t="s">
        <v>1442</v>
      </c>
      <c r="V25" s="160" t="s">
        <v>1573</v>
      </c>
      <c r="W25" s="160" t="s">
        <v>1709</v>
      </c>
      <c r="X25" s="160" t="s">
        <v>1733</v>
      </c>
      <c r="Y25" s="151">
        <f>IF(ISBLANK(tblRisk[[#This Row],[Threat Cluster]]),"",_xlfn.XLOOKUP(tblRisk[[#This Row],[Threat Cluster]],tblHIT[Threat Cluster],tblHIT[Quintile]))</f>
        <v>1</v>
      </c>
      <c r="Z25" s="152">
        <v>4</v>
      </c>
      <c r="AA25" s="153" t="str">
        <f>IF(OR(ISBLANK(tblRisk[[#This Row],[HIT Quintile]]),ISBLANK(tblRisk[[#This Row],[Control Maturity]])),"",_xlfn.XLOOKUP(tblRisk[[#This Row],[Control Maturity]] &amp; tblRisk[[#This Row],[HIT Quintile]],tblHITWDI[Lookup],tblHITWDI[Likelihood Description]))</f>
        <v>Not Foreseeable</v>
      </c>
      <c r="AB25" s="161">
        <f>IF(ISERROR(tblRisk[[#This Row],[Likelihood of Control Failure]]),"",VLOOKUP(tblRisk[[#This Row],[Likelihood of Control Failure]],tblLikelihood[],2,FALSE))</f>
        <v>1</v>
      </c>
      <c r="AC25" s="154">
        <v>2</v>
      </c>
      <c r="AD25" s="155">
        <v>3</v>
      </c>
      <c r="AE25" s="155">
        <v>3</v>
      </c>
      <c r="AF25" s="162">
        <f>IF(ISBLANK(tblRisk[[#This Row],[Impact to Mission]]),"",MAX(tblRisk[[#This Row],[Impact to Mission]:[Impact to Obligations]]))</f>
        <v>3</v>
      </c>
      <c r="AG25" s="163">
        <f>IF(ISERROR(tblRisk[[#This Row],[Impact Score]]*tblRisk[[#This Row],[Likelihood Score]]),"",tblRisk[[#This Row],[Likelihood Score]]*tblRisk[[#This Row],[Impact Score]])</f>
        <v>3</v>
      </c>
      <c r="AH25" s="163">
        <f>tblRisk[[#This Row],[Risk Score]]</f>
        <v>3</v>
      </c>
      <c r="AI25" s="164">
        <f t="shared" si="1"/>
        <v>9</v>
      </c>
      <c r="AJ25" s="164">
        <f>IF(tblRisk[[#This Row],[Safeguard Status]]="In Place",tblRisk[[#This Row],[Control Maturity after SG]],tblRisk[[#This Row],[Control Maturity]])</f>
        <v>4</v>
      </c>
      <c r="AK25" s="173" t="str">
        <f>IF(tblRisk[[#This Row],[Safeguard Status]]="In Place",tblRisk[[#This Row],[Safeguard Threat Cluster]],tblRisk[[#This Row],[Threat Cluster]])</f>
        <v>Hacking Web</v>
      </c>
      <c r="AL25" s="164">
        <f>IF(tblRisk[[#This Row],[Safeguard Status]]="In Place",tblRisk[[#This Row],[Risk Level With Safeguard in Place]],tblRisk[[#This Row],[Risk Level]])</f>
        <v>3</v>
      </c>
      <c r="AM25" s="165" t="s">
        <v>1887</v>
      </c>
      <c r="AN25" s="165" t="str">
        <f>IF(tblRisk[[#This Row],[Risk Treatment Option]]="Manage",_xlfn.IFNA(INDEX(tblRiskTreatmentPrograms[#Data],MATCH(tblRisk[[#This Row],[Common Security Program]]&amp;tblRisk[[#This Row],[Common Security Control]],tblRiskTreatmentPrograms[Lookup],0),MATCH($AN$3,tblRiskTreatmentPrograms[#Headers],0)),txtBadRTP),"")</f>
        <v/>
      </c>
      <c r="AO25" s="165" t="str">
        <f>IF(tblRisk[[#This Row],[Risk Treatment Program]]="","",INDEX(tblRiskTreatmentPrograms[#Data],MATCH(tblRisk[[#This Row],[Risk Treatment Program]],tblRiskTreatmentPrograms[Risk Treatment Program],0),MATCH($AO$3,tblRiskTreatmentPrograms[#Headers],0)))</f>
        <v/>
      </c>
      <c r="AP25" s="165"/>
      <c r="AQ2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5" s="19" t="str">
        <f>tblRisk[[#This Row],[Threat Cluster]]</f>
        <v>Hacking Web</v>
      </c>
      <c r="AS25" s="156">
        <f>IF(ISBLANK(tblRisk[[#This Row],[Safeguard Threat Cluster]]),"",_xlfn.XLOOKUP(tblRisk[[#This Row],[Safeguard Threat Cluster]],tblHIT[Threat Cluster],tblHIT[Quintile]))</f>
        <v>1</v>
      </c>
      <c r="AT25" s="157">
        <f>_xlfn.SWITCH(tblRisk[[#This Row],[Risk Treatment Option]],"Manage",tblRisk[[#This Row],[Control Maturity]]+1,tblRisk[[#This Row],[Control Maturity]])</f>
        <v>4</v>
      </c>
      <c r="AU25" s="158" t="str">
        <f>IF(OR(ISBLANK(tblRisk[[#This Row],[Safeguard HIT Quintile]]),ISBLANK(tblRisk[[#This Row],[Control Maturity after SG]])),"",_xlfn.XLOOKUP(tblRisk[[#This Row],[Control Maturity after SG]] &amp;tblRisk[[#This Row],[Safeguard HIT Quintile]],tblHITWDI[Lookup],tblHITWDI[Likelihood Description]))</f>
        <v>Not Foreseeable</v>
      </c>
      <c r="AV25" s="166">
        <f>IF(ISERROR(tblRisk[[#This Row],[Likelihood of Control Failure after SG]]),"",VLOOKUP(tblRisk[[#This Row],[Likelihood of Control Failure after SG]],tblLikelihood[#Data],2,FALSE))</f>
        <v>1</v>
      </c>
      <c r="AW25" s="159">
        <f>tblRisk[[#This Row],[Impact to Mission]]</f>
        <v>2</v>
      </c>
      <c r="AX25" s="159">
        <f>tblRisk[[#This Row],[Impact to Objectives]]</f>
        <v>3</v>
      </c>
      <c r="AY25" s="159">
        <f>tblRisk[[#This Row],[Impact to Obligations]]</f>
        <v>3</v>
      </c>
      <c r="AZ25" s="166">
        <f>IF(ISBLANK(tblRisk[[#This Row],[Impact to Mission With Safeguard in Place]]),"",MAX(tblRisk[[#This Row],[Impact to Mission With Safeguard in Place]:[Impact to Obligations With Safeguard in Place]]))</f>
        <v>3</v>
      </c>
      <c r="BA25" s="167">
        <f>IF(ISERROR(tblRisk[[#This Row],[Impact Score with Safeguard in Place]]*tblRisk[[#This Row],[Likelihood Score with Safeguard in Place]]),"",tblRisk[[#This Row],[Impact Score with Safeguard in Place]]*tblRisk[[#This Row],[Likelihood Score with Safeguard in Place]])</f>
        <v>3</v>
      </c>
      <c r="BB25" s="164">
        <f>tblRisk[[#This Row],[Risk Score With Safeguard in Place]]</f>
        <v>3</v>
      </c>
      <c r="BC25" s="168" t="str">
        <f>IF(tblRisk[[#This Row],[Risk Treatment Option]]&lt;&gt;"Accept",IF(_xlfn.XLOOKUP(tblRisk[[#This Row],[Specific Safeguard Recommendation]],ProTrak[Task],ProTrak[Status],"Not Found")="Completed","Pending Validation","Pending"),"")</f>
        <v/>
      </c>
      <c r="BD25" s="169" t="str">
        <f>_xlfn.XLOOKUP(tblRisk[[#This Row],[Risk Treatment Program]],tblRiskTreatmentPrograms[Risk Treatment Program],tblRiskTreatmentPrograms[Estimated End Date (MM/DD/YYYY)],"")</f>
        <v/>
      </c>
      <c r="BE25" s="170"/>
      <c r="BF25" s="171" t="str">
        <f>_xlfn.IFNA(IF(tblRisk[[#This Row],[Due Date]]&lt;=vWhatIfQuarter,"Closed",""),"")</f>
        <v/>
      </c>
      <c r="BG25" s="171">
        <f>IF(tblRisk[[#This Row],[Scenario Builder Status]]="Closed",tblRisk[[#This Row],[Risk Score With Safeguard in Place]],tblRisk[[#This Row],[Risk Score]])</f>
        <v>3</v>
      </c>
      <c r="BH25" s="192" t="str">
        <f>tblRisk[[#This Row],[Common Security Program]]&amp;tblRisk[[#This Row],[Common Security Control]]&amp;tblRisk[[#This Row],[Asset Designation ]]</f>
        <v>Network ArchitectureOperationData</v>
      </c>
      <c r="BI25" s="191"/>
      <c r="BJ25" s="191"/>
      <c r="BK25" s="191"/>
      <c r="BL25" s="191" t="s">
        <v>117</v>
      </c>
      <c r="BM25" s="191"/>
      <c r="BN25" s="191"/>
      <c r="BO25" s="191"/>
      <c r="BP25" s="191"/>
      <c r="BQ25" s="191"/>
    </row>
    <row r="26" spans="1:69" ht="110.25" x14ac:dyDescent="0.65">
      <c r="A26" s="160">
        <v>23</v>
      </c>
      <c r="B26" s="160" t="s">
        <v>899</v>
      </c>
      <c r="C26" s="19" t="s">
        <v>917</v>
      </c>
      <c r="D26" s="28" t="s">
        <v>1145</v>
      </c>
      <c r="E26" s="207" t="s">
        <v>1092</v>
      </c>
      <c r="F26" s="194"/>
      <c r="G26" s="194" t="s">
        <v>117</v>
      </c>
      <c r="H26" s="194" t="s">
        <v>117</v>
      </c>
      <c r="I26" s="194" t="s">
        <v>1081</v>
      </c>
      <c r="J26" s="194" t="s">
        <v>1081</v>
      </c>
      <c r="K26" s="194" t="s">
        <v>1081</v>
      </c>
      <c r="L26" s="194" t="s">
        <v>1081</v>
      </c>
      <c r="M26" s="194" t="s">
        <v>1081</v>
      </c>
      <c r="N26" s="194">
        <f>COUNTIF(tblRisk[[#This Row],[Defends Against Malware]:[Defends Against Targeted Intrusions]],"Yes")</f>
        <v>5</v>
      </c>
      <c r="O26" s="160" t="s">
        <v>28</v>
      </c>
      <c r="P26" s="160" t="s">
        <v>88</v>
      </c>
      <c r="Q26" s="160" t="s">
        <v>35</v>
      </c>
      <c r="R26" s="160" t="s">
        <v>1084</v>
      </c>
      <c r="S26" s="160" t="s">
        <v>1455</v>
      </c>
      <c r="T26" s="160" t="s">
        <v>1454</v>
      </c>
      <c r="U26" s="160" t="s">
        <v>1453</v>
      </c>
      <c r="V26" s="19" t="s">
        <v>1629</v>
      </c>
      <c r="W26" s="160" t="s">
        <v>1709</v>
      </c>
      <c r="X26" s="160" t="s">
        <v>1734</v>
      </c>
      <c r="Y26" s="151">
        <f>IF(ISBLANK(tblRisk[[#This Row],[Threat Cluster]]),"",_xlfn.XLOOKUP(tblRisk[[#This Row],[Threat Cluster]],tblHIT[Threat Cluster],tblHIT[Quintile]))</f>
        <v>2</v>
      </c>
      <c r="Z26" s="152">
        <v>4</v>
      </c>
      <c r="AA26" s="153" t="str">
        <f>IF(OR(ISBLANK(tblRisk[[#This Row],[HIT Quintile]]),ISBLANK(tblRisk[[#This Row],[Control Maturity]])),"",_xlfn.XLOOKUP(tblRisk[[#This Row],[Control Maturity]] &amp; tblRisk[[#This Row],[HIT Quintile]],tblHITWDI[Lookup],tblHITWDI[Likelihood Description]))</f>
        <v>Foreseeable, not expected</v>
      </c>
      <c r="AB26" s="161">
        <f>IF(ISERROR(tblRisk[[#This Row],[Likelihood of Control Failure]]),"",VLOOKUP(tblRisk[[#This Row],[Likelihood of Control Failure]],tblLikelihood[],2,FALSE))</f>
        <v>2</v>
      </c>
      <c r="AC26" s="154">
        <v>2</v>
      </c>
      <c r="AD26" s="155">
        <v>3</v>
      </c>
      <c r="AE26" s="155">
        <v>3</v>
      </c>
      <c r="AF26" s="162">
        <f>IF(ISBLANK(tblRisk[[#This Row],[Impact to Mission]]),"",MAX(tblRisk[[#This Row],[Impact to Mission]:[Impact to Obligations]]))</f>
        <v>3</v>
      </c>
      <c r="AG26" s="163">
        <f>IF(ISERROR(tblRisk[[#This Row],[Impact Score]]*tblRisk[[#This Row],[Likelihood Score]]),"",tblRisk[[#This Row],[Likelihood Score]]*tblRisk[[#This Row],[Impact Score]])</f>
        <v>6</v>
      </c>
      <c r="AH26" s="163">
        <f>tblRisk[[#This Row],[Risk Score]]</f>
        <v>6</v>
      </c>
      <c r="AI26" s="164">
        <f t="shared" si="1"/>
        <v>9</v>
      </c>
      <c r="AJ26" s="164">
        <f>IF(tblRisk[[#This Row],[Safeguard Status]]="In Place",tblRisk[[#This Row],[Control Maturity after SG]],tblRisk[[#This Row],[Control Maturity]])</f>
        <v>4</v>
      </c>
      <c r="AK26" s="173" t="str">
        <f>IF(tblRisk[[#This Row],[Safeguard Status]]="In Place",tblRisk[[#This Row],[Safeguard Threat Cluster]],tblRisk[[#This Row],[Threat Cluster]])</f>
        <v>Physical Asset Loss</v>
      </c>
      <c r="AL26" s="164">
        <f>IF(tblRisk[[#This Row],[Safeguard Status]]="In Place",tblRisk[[#This Row],[Risk Level With Safeguard in Place]],tblRisk[[#This Row],[Risk Level]])</f>
        <v>6</v>
      </c>
      <c r="AM26" s="165" t="s">
        <v>1887</v>
      </c>
      <c r="AN26" s="165" t="str">
        <f>IF(tblRisk[[#This Row],[Risk Treatment Option]]="Manage",_xlfn.IFNA(INDEX(tblRiskTreatmentPrograms[#Data],MATCH(tblRisk[[#This Row],[Common Security Program]]&amp;tblRisk[[#This Row],[Common Security Control]],tblRiskTreatmentPrograms[Lookup],0),MATCH($AN$3,tblRiskTreatmentPrograms[#Headers],0)),txtBadRTP),"")</f>
        <v/>
      </c>
      <c r="AO26" s="165" t="str">
        <f>IF(tblRisk[[#This Row],[Risk Treatment Program]]="","",INDEX(tblRiskTreatmentPrograms[#Data],MATCH(tblRisk[[#This Row],[Risk Treatment Program]],tblRiskTreatmentPrograms[Risk Treatment Program],0),MATCH($AO$3,tblRiskTreatmentPrograms[#Headers],0)))</f>
        <v/>
      </c>
      <c r="AP26" s="165"/>
      <c r="AQ2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6" s="19" t="str">
        <f>tblRisk[[#This Row],[Threat Cluster]]</f>
        <v>Physical Asset Loss</v>
      </c>
      <c r="AS26" s="156">
        <f>IF(ISBLANK(tblRisk[[#This Row],[Safeguard Threat Cluster]]),"",_xlfn.XLOOKUP(tblRisk[[#This Row],[Safeguard Threat Cluster]],tblHIT[Threat Cluster],tblHIT[Quintile]))</f>
        <v>2</v>
      </c>
      <c r="AT26" s="157">
        <f>_xlfn.SWITCH(tblRisk[[#This Row],[Risk Treatment Option]],"Manage",tblRisk[[#This Row],[Control Maturity]]+1,tblRisk[[#This Row],[Control Maturity]])</f>
        <v>4</v>
      </c>
      <c r="AU2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26" s="166">
        <f>IF(ISERROR(tblRisk[[#This Row],[Likelihood of Control Failure after SG]]),"",VLOOKUP(tblRisk[[#This Row],[Likelihood of Control Failure after SG]],tblLikelihood[#Data],2,FALSE))</f>
        <v>2</v>
      </c>
      <c r="AW26" s="159">
        <f>tblRisk[[#This Row],[Impact to Mission]]</f>
        <v>2</v>
      </c>
      <c r="AX26" s="159">
        <f>tblRisk[[#This Row],[Impact to Objectives]]</f>
        <v>3</v>
      </c>
      <c r="AY26" s="159">
        <f>tblRisk[[#This Row],[Impact to Obligations]]</f>
        <v>3</v>
      </c>
      <c r="AZ26" s="166">
        <f>IF(ISBLANK(tblRisk[[#This Row],[Impact to Mission With Safeguard in Place]]),"",MAX(tblRisk[[#This Row],[Impact to Mission With Safeguard in Place]:[Impact to Obligations With Safeguard in Place]]))</f>
        <v>3</v>
      </c>
      <c r="BA26" s="167">
        <f>IF(ISERROR(tblRisk[[#This Row],[Impact Score with Safeguard in Place]]*tblRisk[[#This Row],[Likelihood Score with Safeguard in Place]]),"",tblRisk[[#This Row],[Impact Score with Safeguard in Place]]*tblRisk[[#This Row],[Likelihood Score with Safeguard in Place]])</f>
        <v>6</v>
      </c>
      <c r="BB26" s="164">
        <f>tblRisk[[#This Row],[Risk Score With Safeguard in Place]]</f>
        <v>6</v>
      </c>
      <c r="BC26" s="168" t="str">
        <f>IF(tblRisk[[#This Row],[Risk Treatment Option]]&lt;&gt;"Accept",IF(_xlfn.XLOOKUP(tblRisk[[#This Row],[Specific Safeguard Recommendation]],ProTrak[Task],ProTrak[Status],"Not Found")="Completed","Pending Validation","Pending"),"")</f>
        <v/>
      </c>
      <c r="BD26" s="169" t="str">
        <f>_xlfn.XLOOKUP(tblRisk[[#This Row],[Risk Treatment Program]],tblRiskTreatmentPrograms[Risk Treatment Program],tblRiskTreatmentPrograms[Estimated End Date (MM/DD/YYYY)],"")</f>
        <v/>
      </c>
      <c r="BE26" s="170"/>
      <c r="BF26" s="171" t="str">
        <f>_xlfn.IFNA(IF(tblRisk[[#This Row],[Due Date]]&lt;=vWhatIfQuarter,"Closed",""),"")</f>
        <v/>
      </c>
      <c r="BG26" s="171">
        <f>IF(tblRisk[[#This Row],[Scenario Builder Status]]="Closed",tblRisk[[#This Row],[Risk Score With Safeguard in Place]],tblRisk[[#This Row],[Risk Score]])</f>
        <v>6</v>
      </c>
      <c r="BH26" s="192" t="str">
        <f>tblRisk[[#This Row],[Common Security Program]]&amp;tblRisk[[#This Row],[Common Security Control]]&amp;tblRisk[[#This Row],[Asset Designation ]]</f>
        <v>Media SecurityOperationData</v>
      </c>
      <c r="BI26" s="191"/>
      <c r="BJ26" s="191"/>
      <c r="BK26" s="191"/>
      <c r="BL26" s="191"/>
      <c r="BM26" s="191"/>
      <c r="BN26" s="191"/>
      <c r="BO26" s="191"/>
      <c r="BP26" s="191"/>
      <c r="BQ26" s="191" t="s">
        <v>117</v>
      </c>
    </row>
    <row r="27" spans="1:69" ht="126" x14ac:dyDescent="0.65">
      <c r="A27" s="160">
        <v>24</v>
      </c>
      <c r="B27" s="160" t="s">
        <v>899</v>
      </c>
      <c r="C27" s="19" t="s">
        <v>918</v>
      </c>
      <c r="D27" s="28" t="s">
        <v>1146</v>
      </c>
      <c r="E27" s="207" t="s">
        <v>1092</v>
      </c>
      <c r="F27" s="194"/>
      <c r="G27" s="194" t="s">
        <v>117</v>
      </c>
      <c r="H27" s="194" t="s">
        <v>117</v>
      </c>
      <c r="I27" s="194" t="s">
        <v>1081</v>
      </c>
      <c r="J27" s="194" t="s">
        <v>1081</v>
      </c>
      <c r="K27" s="194" t="s">
        <v>1081</v>
      </c>
      <c r="L27" s="194" t="s">
        <v>1081</v>
      </c>
      <c r="M27" s="194" t="s">
        <v>1081</v>
      </c>
      <c r="N27" s="194">
        <f>COUNTIF(tblRisk[[#This Row],[Defends Against Malware]:[Defends Against Targeted Intrusions]],"Yes")</f>
        <v>5</v>
      </c>
      <c r="O27" s="160" t="s">
        <v>24</v>
      </c>
      <c r="P27" s="160" t="s">
        <v>88</v>
      </c>
      <c r="Q27" s="160" t="s">
        <v>611</v>
      </c>
      <c r="R27" s="160" t="s">
        <v>1085</v>
      </c>
      <c r="S27" s="160" t="s">
        <v>1444</v>
      </c>
      <c r="T27" s="160" t="s">
        <v>1443</v>
      </c>
      <c r="U27" s="160" t="s">
        <v>1442</v>
      </c>
      <c r="V27" s="160" t="s">
        <v>1574</v>
      </c>
      <c r="W27" s="160" t="s">
        <v>1709</v>
      </c>
      <c r="X27" s="160" t="s">
        <v>1735</v>
      </c>
      <c r="Y27" s="151">
        <f>IF(ISBLANK(tblRisk[[#This Row],[Threat Cluster]]),"",_xlfn.XLOOKUP(tblRisk[[#This Row],[Threat Cluster]],tblHIT[Threat Cluster],tblHIT[Quintile]))</f>
        <v>3</v>
      </c>
      <c r="Z27" s="152">
        <v>4</v>
      </c>
      <c r="AA27" s="153" t="str">
        <f>IF(OR(ISBLANK(tblRisk[[#This Row],[HIT Quintile]]),ISBLANK(tblRisk[[#This Row],[Control Maturity]])),"",_xlfn.XLOOKUP(tblRisk[[#This Row],[Control Maturity]] &amp; tblRisk[[#This Row],[HIT Quintile]],tblHITWDI[Lookup],tblHITWDI[Likelihood Description]))</f>
        <v>Foreseeable, not expected</v>
      </c>
      <c r="AB27" s="161">
        <f>IF(ISERROR(tblRisk[[#This Row],[Likelihood of Control Failure]]),"",VLOOKUP(tblRisk[[#This Row],[Likelihood of Control Failure]],tblLikelihood[],2,FALSE))</f>
        <v>2</v>
      </c>
      <c r="AC27" s="154">
        <v>2</v>
      </c>
      <c r="AD27" s="155">
        <v>3</v>
      </c>
      <c r="AE27" s="155">
        <v>3</v>
      </c>
      <c r="AF27" s="162">
        <f>IF(ISBLANK(tblRisk[[#This Row],[Impact to Mission]]),"",MAX(tblRisk[[#This Row],[Impact to Mission]:[Impact to Obligations]]))</f>
        <v>3</v>
      </c>
      <c r="AG27" s="163">
        <f>IF(ISERROR(tblRisk[[#This Row],[Impact Score]]*tblRisk[[#This Row],[Likelihood Score]]),"",tblRisk[[#This Row],[Likelihood Score]]*tblRisk[[#This Row],[Impact Score]])</f>
        <v>6</v>
      </c>
      <c r="AH27" s="163">
        <f>tblRisk[[#This Row],[Risk Score]]</f>
        <v>6</v>
      </c>
      <c r="AI27" s="164">
        <f t="shared" si="1"/>
        <v>9</v>
      </c>
      <c r="AJ27" s="164">
        <f>IF(tblRisk[[#This Row],[Safeguard Status]]="In Place",tblRisk[[#This Row],[Control Maturity after SG]],tblRisk[[#This Row],[Control Maturity]])</f>
        <v>4</v>
      </c>
      <c r="AK27" s="173" t="str">
        <f>IF(tblRisk[[#This Row],[Safeguard Status]]="In Place",tblRisk[[#This Row],[Safeguard Threat Cluster]],tblRisk[[#This Row],[Threat Cluster]])</f>
        <v>Physical Facility</v>
      </c>
      <c r="AL27" s="164">
        <f>IF(tblRisk[[#This Row],[Safeguard Status]]="In Place",tblRisk[[#This Row],[Risk Level With Safeguard in Place]],tblRisk[[#This Row],[Risk Level]])</f>
        <v>6</v>
      </c>
      <c r="AM27" s="165" t="s">
        <v>1887</v>
      </c>
      <c r="AN27" s="165" t="str">
        <f>IF(tblRisk[[#This Row],[Risk Treatment Option]]="Manage",_xlfn.IFNA(INDEX(tblRiskTreatmentPrograms[#Data],MATCH(tblRisk[[#This Row],[Common Security Program]]&amp;tblRisk[[#This Row],[Common Security Control]],tblRiskTreatmentPrograms[Lookup],0),MATCH($AN$3,tblRiskTreatmentPrograms[#Headers],0)),txtBadRTP),"")</f>
        <v/>
      </c>
      <c r="AO27" s="165" t="str">
        <f>IF(tblRisk[[#This Row],[Risk Treatment Program]]="","",INDEX(tblRiskTreatmentPrograms[#Data],MATCH(tblRisk[[#This Row],[Risk Treatment Program]],tblRiskTreatmentPrograms[Risk Treatment Program],0),MATCH($AO$3,tblRiskTreatmentPrograms[#Headers],0)))</f>
        <v/>
      </c>
      <c r="AP27" s="165"/>
      <c r="AQ2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7" s="19" t="str">
        <f>tblRisk[[#This Row],[Threat Cluster]]</f>
        <v>Physical Facility</v>
      </c>
      <c r="AS27" s="156">
        <f>IF(ISBLANK(tblRisk[[#This Row],[Safeguard Threat Cluster]]),"",_xlfn.XLOOKUP(tblRisk[[#This Row],[Safeguard Threat Cluster]],tblHIT[Threat Cluster],tblHIT[Quintile]))</f>
        <v>3</v>
      </c>
      <c r="AT27" s="157">
        <f>_xlfn.SWITCH(tblRisk[[#This Row],[Risk Treatment Option]],"Manage",tblRisk[[#This Row],[Control Maturity]]+1,tblRisk[[#This Row],[Control Maturity]])</f>
        <v>4</v>
      </c>
      <c r="AU2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27" s="166">
        <f>IF(ISERROR(tblRisk[[#This Row],[Likelihood of Control Failure after SG]]),"",VLOOKUP(tblRisk[[#This Row],[Likelihood of Control Failure after SG]],tblLikelihood[#Data],2,FALSE))</f>
        <v>2</v>
      </c>
      <c r="AW27" s="159">
        <f>tblRisk[[#This Row],[Impact to Mission]]</f>
        <v>2</v>
      </c>
      <c r="AX27" s="159">
        <f>tblRisk[[#This Row],[Impact to Objectives]]</f>
        <v>3</v>
      </c>
      <c r="AY27" s="159">
        <f>tblRisk[[#This Row],[Impact to Obligations]]</f>
        <v>3</v>
      </c>
      <c r="AZ27" s="166">
        <f>IF(ISBLANK(tblRisk[[#This Row],[Impact to Mission With Safeguard in Place]]),"",MAX(tblRisk[[#This Row],[Impact to Mission With Safeguard in Place]:[Impact to Obligations With Safeguard in Place]]))</f>
        <v>3</v>
      </c>
      <c r="BA27" s="167">
        <f>IF(ISERROR(tblRisk[[#This Row],[Impact Score with Safeguard in Place]]*tblRisk[[#This Row],[Likelihood Score with Safeguard in Place]]),"",tblRisk[[#This Row],[Impact Score with Safeguard in Place]]*tblRisk[[#This Row],[Likelihood Score with Safeguard in Place]])</f>
        <v>6</v>
      </c>
      <c r="BB27" s="164">
        <f>tblRisk[[#This Row],[Risk Score With Safeguard in Place]]</f>
        <v>6</v>
      </c>
      <c r="BC27" s="168" t="str">
        <f>IF(tblRisk[[#This Row],[Risk Treatment Option]]&lt;&gt;"Accept",IF(_xlfn.XLOOKUP(tblRisk[[#This Row],[Specific Safeguard Recommendation]],ProTrak[Task],ProTrak[Status],"Not Found")="Completed","Pending Validation","Pending"),"")</f>
        <v/>
      </c>
      <c r="BD27" s="169" t="str">
        <f>_xlfn.XLOOKUP(tblRisk[[#This Row],[Risk Treatment Program]],tblRiskTreatmentPrograms[Risk Treatment Program],tblRiskTreatmentPrograms[Estimated End Date (MM/DD/YYYY)],"")</f>
        <v/>
      </c>
      <c r="BE27" s="170"/>
      <c r="BF27" s="171" t="str">
        <f>_xlfn.IFNA(IF(tblRisk[[#This Row],[Due Date]]&lt;=vWhatIfQuarter,"Closed",""),"")</f>
        <v/>
      </c>
      <c r="BG27" s="171">
        <f>IF(tblRisk[[#This Row],[Scenario Builder Status]]="Closed",tblRisk[[#This Row],[Risk Score With Safeguard in Place]],tblRisk[[#This Row],[Risk Score]])</f>
        <v>6</v>
      </c>
      <c r="BH27" s="192" t="str">
        <f>tblRisk[[#This Row],[Common Security Program]]&amp;tblRisk[[#This Row],[Common Security Control]]&amp;tblRisk[[#This Row],[Asset Designation ]]</f>
        <v>Network ArchitectureOperationNetwork</v>
      </c>
      <c r="BI27" s="191"/>
      <c r="BJ27" s="191"/>
      <c r="BK27" s="191"/>
      <c r="BL27" s="191"/>
      <c r="BM27" s="191"/>
      <c r="BN27" s="191"/>
      <c r="BO27" s="191"/>
      <c r="BP27" s="191"/>
      <c r="BQ27" s="191" t="s">
        <v>117</v>
      </c>
    </row>
    <row r="28" spans="1:69" ht="267.75" x14ac:dyDescent="0.65">
      <c r="A28" s="160">
        <v>25</v>
      </c>
      <c r="B28" s="160" t="s">
        <v>899</v>
      </c>
      <c r="C28" s="19" t="s">
        <v>919</v>
      </c>
      <c r="D28" s="28" t="s">
        <v>1147</v>
      </c>
      <c r="E28" s="207" t="s">
        <v>1092</v>
      </c>
      <c r="F28" s="194"/>
      <c r="G28" s="194"/>
      <c r="H28" s="194" t="s">
        <v>117</v>
      </c>
      <c r="I28" s="194" t="s">
        <v>1080</v>
      </c>
      <c r="J28" s="194" t="s">
        <v>1080</v>
      </c>
      <c r="K28" s="194" t="s">
        <v>1080</v>
      </c>
      <c r="L28" s="194" t="s">
        <v>1080</v>
      </c>
      <c r="M28" s="194" t="s">
        <v>1080</v>
      </c>
      <c r="N28" s="194">
        <f>COUNTIF(tblRisk[[#This Row],[Defends Against Malware]:[Defends Against Targeted Intrusions]],"Yes")</f>
        <v>0</v>
      </c>
      <c r="O28" s="160" t="s">
        <v>21</v>
      </c>
      <c r="P28" s="160" t="s">
        <v>88</v>
      </c>
      <c r="Q28" s="160" t="s">
        <v>34</v>
      </c>
      <c r="R28" s="160" t="s">
        <v>1084</v>
      </c>
      <c r="S28" s="160" t="s">
        <v>1426</v>
      </c>
      <c r="T28" s="160" t="s">
        <v>1425</v>
      </c>
      <c r="U28" s="19" t="s">
        <v>1906</v>
      </c>
      <c r="V28" s="160" t="s">
        <v>1575</v>
      </c>
      <c r="W28" s="160" t="s">
        <v>1709</v>
      </c>
      <c r="X28" s="160" t="s">
        <v>1736</v>
      </c>
      <c r="Y28" s="151">
        <f>IF(ISBLANK(tblRisk[[#This Row],[Threat Cluster]]),"",_xlfn.XLOOKUP(tblRisk[[#This Row],[Threat Cluster]],tblHIT[Threat Cluster],tblHIT[Quintile]))</f>
        <v>2</v>
      </c>
      <c r="Z28" s="152">
        <v>5</v>
      </c>
      <c r="AA28" s="153" t="str">
        <f>IF(OR(ISBLANK(tblRisk[[#This Row],[HIT Quintile]]),ISBLANK(tblRisk[[#This Row],[Control Maturity]])),"",_xlfn.XLOOKUP(tblRisk[[#This Row],[Control Maturity]] &amp; tblRisk[[#This Row],[HIT Quintile]],tblHITWDI[Lookup],tblHITWDI[Likelihood Description]))</f>
        <v>Not Foreseeable</v>
      </c>
      <c r="AB28" s="161">
        <f>IF(ISERROR(tblRisk[[#This Row],[Likelihood of Control Failure]]),"",VLOOKUP(tblRisk[[#This Row],[Likelihood of Control Failure]],tblLikelihood[],2,FALSE))</f>
        <v>1</v>
      </c>
      <c r="AC28" s="154">
        <v>2</v>
      </c>
      <c r="AD28" s="155">
        <v>3</v>
      </c>
      <c r="AE28" s="155">
        <v>3</v>
      </c>
      <c r="AF28" s="162">
        <f>IF(ISBLANK(tblRisk[[#This Row],[Impact to Mission]]),"",MAX(tblRisk[[#This Row],[Impact to Mission]:[Impact to Obligations]]))</f>
        <v>3</v>
      </c>
      <c r="AG28" s="163">
        <f>IF(ISERROR(tblRisk[[#This Row],[Impact Score]]*tblRisk[[#This Row],[Likelihood Score]]),"",tblRisk[[#This Row],[Likelihood Score]]*tblRisk[[#This Row],[Impact Score]])</f>
        <v>3</v>
      </c>
      <c r="AH28" s="163">
        <f>tblRisk[[#This Row],[Risk Score]]</f>
        <v>3</v>
      </c>
      <c r="AI28" s="164">
        <f t="shared" si="1"/>
        <v>9</v>
      </c>
      <c r="AJ28" s="164">
        <f>IF(tblRisk[[#This Row],[Safeguard Status]]="In Place",tblRisk[[#This Row],[Control Maturity after SG]],tblRisk[[#This Row],[Control Maturity]])</f>
        <v>5</v>
      </c>
      <c r="AK28" s="173" t="str">
        <f>IF(tblRisk[[#This Row],[Safeguard Status]]="In Place",tblRisk[[#This Row],[Safeguard Threat Cluster]],tblRisk[[#This Row],[Threat Cluster]])</f>
        <v>Personnel Misuse</v>
      </c>
      <c r="AL28" s="164">
        <f>IF(tblRisk[[#This Row],[Safeguard Status]]="In Place",tblRisk[[#This Row],[Risk Level With Safeguard in Place]],tblRisk[[#This Row],[Risk Level]])</f>
        <v>3</v>
      </c>
      <c r="AM28" s="165" t="s">
        <v>1887</v>
      </c>
      <c r="AN28" s="165" t="str">
        <f>IF(tblRisk[[#This Row],[Risk Treatment Option]]="Manage",_xlfn.IFNA(INDEX(tblRiskTreatmentPrograms[#Data],MATCH(tblRisk[[#This Row],[Common Security Program]]&amp;tblRisk[[#This Row],[Common Security Control]],tblRiskTreatmentPrograms[Lookup],0),MATCH($AN$3,tblRiskTreatmentPrograms[#Headers],0)),txtBadRTP),"")</f>
        <v/>
      </c>
      <c r="AO28" s="165" t="str">
        <f>IF(tblRisk[[#This Row],[Risk Treatment Program]]="","",INDEX(tblRiskTreatmentPrograms[#Data],MATCH(tblRisk[[#This Row],[Risk Treatment Program]],tblRiskTreatmentPrograms[Risk Treatment Program],0),MATCH($AO$3,tblRiskTreatmentPrograms[#Headers],0)))</f>
        <v/>
      </c>
      <c r="AP28" s="165"/>
      <c r="AQ2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8" s="19" t="str">
        <f>tblRisk[[#This Row],[Threat Cluster]]</f>
        <v>Personnel Misuse</v>
      </c>
      <c r="AS28" s="156">
        <f>IF(ISBLANK(tblRisk[[#This Row],[Safeguard Threat Cluster]]),"",_xlfn.XLOOKUP(tblRisk[[#This Row],[Safeguard Threat Cluster]],tblHIT[Threat Cluster],tblHIT[Quintile]))</f>
        <v>2</v>
      </c>
      <c r="AT28" s="157">
        <f>_xlfn.SWITCH(tblRisk[[#This Row],[Risk Treatment Option]],"Manage",tblRisk[[#This Row],[Control Maturity]]+1,tblRisk[[#This Row],[Control Maturity]])</f>
        <v>5</v>
      </c>
      <c r="AU28" s="158" t="str">
        <f>IF(OR(ISBLANK(tblRisk[[#This Row],[Safeguard HIT Quintile]]),ISBLANK(tblRisk[[#This Row],[Control Maturity after SG]])),"",_xlfn.XLOOKUP(tblRisk[[#This Row],[Control Maturity after SG]] &amp;tblRisk[[#This Row],[Safeguard HIT Quintile]],tblHITWDI[Lookup],tblHITWDI[Likelihood Description]))</f>
        <v>Not Foreseeable</v>
      </c>
      <c r="AV28" s="166">
        <f>IF(ISERROR(tblRisk[[#This Row],[Likelihood of Control Failure after SG]]),"",VLOOKUP(tblRisk[[#This Row],[Likelihood of Control Failure after SG]],tblLikelihood[#Data],2,FALSE))</f>
        <v>1</v>
      </c>
      <c r="AW28" s="159">
        <f>tblRisk[[#This Row],[Impact to Mission]]</f>
        <v>2</v>
      </c>
      <c r="AX28" s="159">
        <f>tblRisk[[#This Row],[Impact to Objectives]]</f>
        <v>3</v>
      </c>
      <c r="AY28" s="159">
        <f>tblRisk[[#This Row],[Impact to Obligations]]</f>
        <v>3</v>
      </c>
      <c r="AZ28" s="166">
        <f>IF(ISBLANK(tblRisk[[#This Row],[Impact to Mission With Safeguard in Place]]),"",MAX(tblRisk[[#This Row],[Impact to Mission With Safeguard in Place]:[Impact to Obligations With Safeguard in Place]]))</f>
        <v>3</v>
      </c>
      <c r="BA28" s="167">
        <f>IF(ISERROR(tblRisk[[#This Row],[Impact Score with Safeguard in Place]]*tblRisk[[#This Row],[Likelihood Score with Safeguard in Place]]),"",tblRisk[[#This Row],[Impact Score with Safeguard in Place]]*tblRisk[[#This Row],[Likelihood Score with Safeguard in Place]])</f>
        <v>3</v>
      </c>
      <c r="BB28" s="164">
        <f>tblRisk[[#This Row],[Risk Score With Safeguard in Place]]</f>
        <v>3</v>
      </c>
      <c r="BC28" s="168" t="str">
        <f>IF(tblRisk[[#This Row],[Risk Treatment Option]]&lt;&gt;"Accept",IF(_xlfn.XLOOKUP(tblRisk[[#This Row],[Specific Safeguard Recommendation]],ProTrak[Task],ProTrak[Status],"Not Found")="Completed","Pending Validation","Pending"),"")</f>
        <v/>
      </c>
      <c r="BD28" s="169" t="str">
        <f>_xlfn.XLOOKUP(tblRisk[[#This Row],[Risk Treatment Program]],tblRiskTreatmentPrograms[Risk Treatment Program],tblRiskTreatmentPrograms[Estimated End Date (MM/DD/YYYY)],"")</f>
        <v/>
      </c>
      <c r="BE28" s="170"/>
      <c r="BF28" s="171" t="str">
        <f>_xlfn.IFNA(IF(tblRisk[[#This Row],[Due Date]]&lt;=vWhatIfQuarter,"Closed",""),"")</f>
        <v/>
      </c>
      <c r="BG28" s="171">
        <f>IF(tblRisk[[#This Row],[Scenario Builder Status]]="Closed",tblRisk[[#This Row],[Risk Score With Safeguard in Place]],tblRisk[[#This Row],[Risk Score]])</f>
        <v>3</v>
      </c>
      <c r="BH28" s="192" t="str">
        <f>tblRisk[[#This Row],[Common Security Program]]&amp;tblRisk[[#This Row],[Common Security Control]]&amp;tblRisk[[#This Row],[Asset Designation ]]</f>
        <v>Monitoring &amp; LoggingOperationData</v>
      </c>
      <c r="BI28" s="191"/>
      <c r="BJ28" s="191"/>
      <c r="BK28" s="191"/>
      <c r="BL28" s="191"/>
      <c r="BM28" s="191"/>
      <c r="BN28" s="191"/>
      <c r="BO28" s="191"/>
      <c r="BP28" s="191"/>
      <c r="BQ28" s="191"/>
    </row>
    <row r="29" spans="1:69" ht="267.75" x14ac:dyDescent="0.65">
      <c r="A29" s="160">
        <v>26</v>
      </c>
      <c r="B29" s="160" t="s">
        <v>899</v>
      </c>
      <c r="C29" s="19" t="s">
        <v>920</v>
      </c>
      <c r="D29" s="28" t="s">
        <v>1148</v>
      </c>
      <c r="E29" s="207" t="s">
        <v>1091</v>
      </c>
      <c r="F29" s="194"/>
      <c r="G29" s="194"/>
      <c r="H29" s="194" t="s">
        <v>117</v>
      </c>
      <c r="I29" s="194" t="s">
        <v>1080</v>
      </c>
      <c r="J29" s="194" t="s">
        <v>1080</v>
      </c>
      <c r="K29" s="194" t="s">
        <v>1080</v>
      </c>
      <c r="L29" s="194" t="s">
        <v>1080</v>
      </c>
      <c r="M29" s="194" t="s">
        <v>1081</v>
      </c>
      <c r="N29" s="194">
        <f>COUNTIF(tblRisk[[#This Row],[Defends Against Malware]:[Defends Against Targeted Intrusions]],"Yes")</f>
        <v>1</v>
      </c>
      <c r="O29" s="160" t="s">
        <v>21</v>
      </c>
      <c r="P29" s="160" t="s">
        <v>88</v>
      </c>
      <c r="Q29" s="160" t="s">
        <v>34</v>
      </c>
      <c r="R29" s="160" t="s">
        <v>1084</v>
      </c>
      <c r="S29" s="160" t="s">
        <v>1426</v>
      </c>
      <c r="T29" s="160" t="s">
        <v>1425</v>
      </c>
      <c r="U29" s="19" t="s">
        <v>1906</v>
      </c>
      <c r="V29" s="160" t="s">
        <v>1576</v>
      </c>
      <c r="W29" s="160" t="s">
        <v>1709</v>
      </c>
      <c r="X29" s="160" t="s">
        <v>1737</v>
      </c>
      <c r="Y29" s="151">
        <f>IF(ISBLANK(tblRisk[[#This Row],[Threat Cluster]]),"",_xlfn.XLOOKUP(tblRisk[[#This Row],[Threat Cluster]],tblHIT[Threat Cluster],tblHIT[Quintile]))</f>
        <v>2</v>
      </c>
      <c r="Z29" s="152">
        <v>5</v>
      </c>
      <c r="AA29" s="153" t="str">
        <f>IF(OR(ISBLANK(tblRisk[[#This Row],[HIT Quintile]]),ISBLANK(tblRisk[[#This Row],[Control Maturity]])),"",_xlfn.XLOOKUP(tblRisk[[#This Row],[Control Maturity]] &amp; tblRisk[[#This Row],[HIT Quintile]],tblHITWDI[Lookup],tblHITWDI[Likelihood Description]))</f>
        <v>Not Foreseeable</v>
      </c>
      <c r="AB29" s="161">
        <f>IF(ISERROR(tblRisk[[#This Row],[Likelihood of Control Failure]]),"",VLOOKUP(tblRisk[[#This Row],[Likelihood of Control Failure]],tblLikelihood[],2,FALSE))</f>
        <v>1</v>
      </c>
      <c r="AC29" s="154">
        <v>2</v>
      </c>
      <c r="AD29" s="155">
        <v>3</v>
      </c>
      <c r="AE29" s="155">
        <v>3</v>
      </c>
      <c r="AF29" s="162">
        <f>IF(ISBLANK(tblRisk[[#This Row],[Impact to Mission]]),"",MAX(tblRisk[[#This Row],[Impact to Mission]:[Impact to Obligations]]))</f>
        <v>3</v>
      </c>
      <c r="AG29" s="163">
        <f>IF(ISERROR(tblRisk[[#This Row],[Impact Score]]*tblRisk[[#This Row],[Likelihood Score]]),"",tblRisk[[#This Row],[Likelihood Score]]*tblRisk[[#This Row],[Impact Score]])</f>
        <v>3</v>
      </c>
      <c r="AH29" s="163">
        <f>tblRisk[[#This Row],[Risk Score]]</f>
        <v>3</v>
      </c>
      <c r="AI29" s="164">
        <f t="shared" si="1"/>
        <v>9</v>
      </c>
      <c r="AJ29" s="164">
        <f>IF(tblRisk[[#This Row],[Safeguard Status]]="In Place",tblRisk[[#This Row],[Control Maturity after SG]],tblRisk[[#This Row],[Control Maturity]])</f>
        <v>5</v>
      </c>
      <c r="AK29" s="173" t="str">
        <f>IF(tblRisk[[#This Row],[Safeguard Status]]="In Place",tblRisk[[#This Row],[Safeguard Threat Cluster]],tblRisk[[#This Row],[Threat Cluster]])</f>
        <v>Personnel Misuse</v>
      </c>
      <c r="AL29" s="164">
        <f>IF(tblRisk[[#This Row],[Safeguard Status]]="In Place",tblRisk[[#This Row],[Risk Level With Safeguard in Place]],tblRisk[[#This Row],[Risk Level]])</f>
        <v>3</v>
      </c>
      <c r="AM29" s="165" t="s">
        <v>1887</v>
      </c>
      <c r="AN29" s="165" t="str">
        <f>IF(tblRisk[[#This Row],[Risk Treatment Option]]="Manage",_xlfn.IFNA(INDEX(tblRiskTreatmentPrograms[#Data],MATCH(tblRisk[[#This Row],[Common Security Program]]&amp;tblRisk[[#This Row],[Common Security Control]],tblRiskTreatmentPrograms[Lookup],0),MATCH($AN$3,tblRiskTreatmentPrograms[#Headers],0)),txtBadRTP),"")</f>
        <v/>
      </c>
      <c r="AO29" s="165" t="str">
        <f>IF(tblRisk[[#This Row],[Risk Treatment Program]]="","",INDEX(tblRiskTreatmentPrograms[#Data],MATCH(tblRisk[[#This Row],[Risk Treatment Program]],tblRiskTreatmentPrograms[Risk Treatment Program],0),MATCH($AO$3,tblRiskTreatmentPrograms[#Headers],0)))</f>
        <v/>
      </c>
      <c r="AP29" s="165"/>
      <c r="AQ2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29" s="19" t="str">
        <f>tblRisk[[#This Row],[Threat Cluster]]</f>
        <v>Personnel Misuse</v>
      </c>
      <c r="AS29" s="156">
        <f>IF(ISBLANK(tblRisk[[#This Row],[Safeguard Threat Cluster]]),"",_xlfn.XLOOKUP(tblRisk[[#This Row],[Safeguard Threat Cluster]],tblHIT[Threat Cluster],tblHIT[Quintile]))</f>
        <v>2</v>
      </c>
      <c r="AT29" s="157">
        <f>_xlfn.SWITCH(tblRisk[[#This Row],[Risk Treatment Option]],"Manage",tblRisk[[#This Row],[Control Maturity]]+1,tblRisk[[#This Row],[Control Maturity]])</f>
        <v>5</v>
      </c>
      <c r="AU29" s="158" t="str">
        <f>IF(OR(ISBLANK(tblRisk[[#This Row],[Safeguard HIT Quintile]]),ISBLANK(tblRisk[[#This Row],[Control Maturity after SG]])),"",_xlfn.XLOOKUP(tblRisk[[#This Row],[Control Maturity after SG]] &amp;tblRisk[[#This Row],[Safeguard HIT Quintile]],tblHITWDI[Lookup],tblHITWDI[Likelihood Description]))</f>
        <v>Not Foreseeable</v>
      </c>
      <c r="AV29" s="166">
        <f>IF(ISERROR(tblRisk[[#This Row],[Likelihood of Control Failure after SG]]),"",VLOOKUP(tblRisk[[#This Row],[Likelihood of Control Failure after SG]],tblLikelihood[#Data],2,FALSE))</f>
        <v>1</v>
      </c>
      <c r="AW29" s="159">
        <f>tblRisk[[#This Row],[Impact to Mission]]</f>
        <v>2</v>
      </c>
      <c r="AX29" s="159">
        <f>tblRisk[[#This Row],[Impact to Objectives]]</f>
        <v>3</v>
      </c>
      <c r="AY29" s="159">
        <f>tblRisk[[#This Row],[Impact to Obligations]]</f>
        <v>3</v>
      </c>
      <c r="AZ29" s="166">
        <f>IF(ISBLANK(tblRisk[[#This Row],[Impact to Mission With Safeguard in Place]]),"",MAX(tblRisk[[#This Row],[Impact to Mission With Safeguard in Place]:[Impact to Obligations With Safeguard in Place]]))</f>
        <v>3</v>
      </c>
      <c r="BA29" s="167">
        <f>IF(ISERROR(tblRisk[[#This Row],[Impact Score with Safeguard in Place]]*tblRisk[[#This Row],[Likelihood Score with Safeguard in Place]]),"",tblRisk[[#This Row],[Impact Score with Safeguard in Place]]*tblRisk[[#This Row],[Likelihood Score with Safeguard in Place]])</f>
        <v>3</v>
      </c>
      <c r="BB29" s="164">
        <f>tblRisk[[#This Row],[Risk Score With Safeguard in Place]]</f>
        <v>3</v>
      </c>
      <c r="BC29" s="168" t="str">
        <f>IF(tblRisk[[#This Row],[Risk Treatment Option]]&lt;&gt;"Accept",IF(_xlfn.XLOOKUP(tblRisk[[#This Row],[Specific Safeguard Recommendation]],ProTrak[Task],ProTrak[Status],"Not Found")="Completed","Pending Validation","Pending"),"")</f>
        <v/>
      </c>
      <c r="BD29" s="169" t="str">
        <f>_xlfn.XLOOKUP(tblRisk[[#This Row],[Risk Treatment Program]],tblRiskTreatmentPrograms[Risk Treatment Program],tblRiskTreatmentPrograms[Estimated End Date (MM/DD/YYYY)],"")</f>
        <v/>
      </c>
      <c r="BE29" s="170"/>
      <c r="BF29" s="171" t="str">
        <f>_xlfn.IFNA(IF(tblRisk[[#This Row],[Due Date]]&lt;=vWhatIfQuarter,"Closed",""),"")</f>
        <v/>
      </c>
      <c r="BG29" s="171">
        <f>IF(tblRisk[[#This Row],[Scenario Builder Status]]="Closed",tblRisk[[#This Row],[Risk Score With Safeguard in Place]],tblRisk[[#This Row],[Risk Score]])</f>
        <v>3</v>
      </c>
      <c r="BH29" s="192" t="str">
        <f>tblRisk[[#This Row],[Common Security Program]]&amp;tblRisk[[#This Row],[Common Security Control]]&amp;tblRisk[[#This Row],[Asset Designation ]]</f>
        <v>Monitoring &amp; LoggingOperationData</v>
      </c>
      <c r="BI29" s="191"/>
      <c r="BJ29" s="191"/>
      <c r="BK29" s="191"/>
      <c r="BL29" s="191" t="s">
        <v>117</v>
      </c>
      <c r="BM29" s="191"/>
      <c r="BN29" s="191"/>
      <c r="BO29" s="191"/>
      <c r="BP29" s="191"/>
      <c r="BQ29" s="191"/>
    </row>
    <row r="30" spans="1:69" ht="94.5" x14ac:dyDescent="0.65">
      <c r="A30" s="160">
        <v>27</v>
      </c>
      <c r="B30" s="160" t="s">
        <v>899</v>
      </c>
      <c r="C30" s="19" t="s">
        <v>1021</v>
      </c>
      <c r="D30" s="28" t="s">
        <v>1149</v>
      </c>
      <c r="E30" s="207" t="s">
        <v>1092</v>
      </c>
      <c r="F30" s="194" t="s">
        <v>117</v>
      </c>
      <c r="G30" s="194" t="s">
        <v>117</v>
      </c>
      <c r="H30" s="194" t="s">
        <v>117</v>
      </c>
      <c r="I30" s="194" t="s">
        <v>1081</v>
      </c>
      <c r="J30" s="194" t="s">
        <v>1081</v>
      </c>
      <c r="K30" s="194" t="s">
        <v>1081</v>
      </c>
      <c r="L30" s="194" t="s">
        <v>1081</v>
      </c>
      <c r="M30" s="194" t="s">
        <v>1081</v>
      </c>
      <c r="N30" s="194">
        <f>COUNTIF(tblRisk[[#This Row],[Defends Against Malware]:[Defends Against Targeted Intrusions]],"Yes")</f>
        <v>5</v>
      </c>
      <c r="O30" s="160" t="s">
        <v>653</v>
      </c>
      <c r="P30" s="160" t="s">
        <v>86</v>
      </c>
      <c r="Q30" s="160" t="s">
        <v>33</v>
      </c>
      <c r="R30" s="160" t="s">
        <v>1083</v>
      </c>
      <c r="S30" s="160" t="s">
        <v>1087</v>
      </c>
      <c r="T30" s="160" t="s">
        <v>1432</v>
      </c>
      <c r="U30" s="160" t="s">
        <v>1433</v>
      </c>
      <c r="V30" s="160" t="s">
        <v>1577</v>
      </c>
      <c r="W30" s="160" t="s">
        <v>1709</v>
      </c>
      <c r="X30" s="160" t="s">
        <v>1738</v>
      </c>
      <c r="Y30" s="151">
        <f>IF(ISBLANK(tblRisk[[#This Row],[Threat Cluster]]),"",_xlfn.XLOOKUP(tblRisk[[#This Row],[Threat Cluster]],tblHIT[Threat Cluster],tblHIT[Quintile]))</f>
        <v>2</v>
      </c>
      <c r="Z30" s="152">
        <v>4</v>
      </c>
      <c r="AA30" s="153" t="str">
        <f>IF(OR(ISBLANK(tblRisk[[#This Row],[HIT Quintile]]),ISBLANK(tblRisk[[#This Row],[Control Maturity]])),"",_xlfn.XLOOKUP(tblRisk[[#This Row],[Control Maturity]] &amp; tblRisk[[#This Row],[HIT Quintile]],tblHITWDI[Lookup],tblHITWDI[Likelihood Description]))</f>
        <v>Foreseeable, not expected</v>
      </c>
      <c r="AB30" s="161">
        <f>IF(ISERROR(tblRisk[[#This Row],[Likelihood of Control Failure]]),"",VLOOKUP(tblRisk[[#This Row],[Likelihood of Control Failure]],tblLikelihood[],2,FALSE))</f>
        <v>2</v>
      </c>
      <c r="AC30" s="154">
        <v>2</v>
      </c>
      <c r="AD30" s="155">
        <v>2</v>
      </c>
      <c r="AE30" s="155">
        <v>2</v>
      </c>
      <c r="AF30" s="162">
        <f>IF(ISBLANK(tblRisk[[#This Row],[Impact to Mission]]),"",MAX(tblRisk[[#This Row],[Impact to Mission]:[Impact to Obligations]]))</f>
        <v>2</v>
      </c>
      <c r="AG30" s="163">
        <f>IF(ISERROR(tblRisk[[#This Row],[Impact Score]]*tblRisk[[#This Row],[Likelihood Score]]),"",tblRisk[[#This Row],[Likelihood Score]]*tblRisk[[#This Row],[Impact Score]])</f>
        <v>4</v>
      </c>
      <c r="AH30" s="163">
        <f>tblRisk[[#This Row],[Risk Score]]</f>
        <v>4</v>
      </c>
      <c r="AI30" s="164">
        <f t="shared" si="1"/>
        <v>9</v>
      </c>
      <c r="AJ30" s="164">
        <f>IF(tblRisk[[#This Row],[Safeguard Status]]="In Place",tblRisk[[#This Row],[Control Maturity after SG]],tblRisk[[#This Row],[Control Maturity]])</f>
        <v>4</v>
      </c>
      <c r="AK30" s="173" t="str">
        <f>IF(tblRisk[[#This Row],[Safeguard Status]]="In Place",tblRisk[[#This Row],[Safeguard Threat Cluster]],tblRisk[[#This Row],[Threat Cluster]])</f>
        <v>Personnel Error</v>
      </c>
      <c r="AL30" s="164">
        <f>IF(tblRisk[[#This Row],[Safeguard Status]]="In Place",tblRisk[[#This Row],[Risk Level With Safeguard in Place]],tblRisk[[#This Row],[Risk Level]])</f>
        <v>4</v>
      </c>
      <c r="AM30" s="165" t="s">
        <v>1887</v>
      </c>
      <c r="AN30" s="165" t="str">
        <f>IF(tblRisk[[#This Row],[Risk Treatment Option]]="Manage",_xlfn.IFNA(INDEX(tblRiskTreatmentPrograms[#Data],MATCH(tblRisk[[#This Row],[Common Security Program]]&amp;tblRisk[[#This Row],[Common Security Control]],tblRiskTreatmentPrograms[Lookup],0),MATCH($AN$3,tblRiskTreatmentPrograms[#Headers],0)),txtBadRTP),"")</f>
        <v/>
      </c>
      <c r="AO30" s="165" t="str">
        <f>IF(tblRisk[[#This Row],[Risk Treatment Program]]="","",INDEX(tblRiskTreatmentPrograms[#Data],MATCH(tblRisk[[#This Row],[Risk Treatment Program]],tblRiskTreatmentPrograms[Risk Treatment Program],0),MATCH($AO$3,tblRiskTreatmentPrograms[#Headers],0)))</f>
        <v/>
      </c>
      <c r="AP30" s="165"/>
      <c r="AQ3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0" s="19" t="str">
        <f>tblRisk[[#This Row],[Threat Cluster]]</f>
        <v>Personnel Error</v>
      </c>
      <c r="AS30" s="156">
        <f>IF(ISBLANK(tblRisk[[#This Row],[Safeguard Threat Cluster]]),"",_xlfn.XLOOKUP(tblRisk[[#This Row],[Safeguard Threat Cluster]],tblHIT[Threat Cluster],tblHIT[Quintile]))</f>
        <v>2</v>
      </c>
      <c r="AT30" s="157">
        <f>_xlfn.SWITCH(tblRisk[[#This Row],[Risk Treatment Option]],"Manage",tblRisk[[#This Row],[Control Maturity]]+1,tblRisk[[#This Row],[Control Maturity]])</f>
        <v>4</v>
      </c>
      <c r="AU3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0" s="166">
        <f>IF(ISERROR(tblRisk[[#This Row],[Likelihood of Control Failure after SG]]),"",VLOOKUP(tblRisk[[#This Row],[Likelihood of Control Failure after SG]],tblLikelihood[#Data],2,FALSE))</f>
        <v>2</v>
      </c>
      <c r="AW30" s="159">
        <f>tblRisk[[#This Row],[Impact to Mission]]</f>
        <v>2</v>
      </c>
      <c r="AX30" s="159">
        <f>tblRisk[[#This Row],[Impact to Objectives]]</f>
        <v>2</v>
      </c>
      <c r="AY30" s="159">
        <f>tblRisk[[#This Row],[Impact to Obligations]]</f>
        <v>2</v>
      </c>
      <c r="AZ30" s="166">
        <f>IF(ISBLANK(tblRisk[[#This Row],[Impact to Mission With Safeguard in Place]]),"",MAX(tblRisk[[#This Row],[Impact to Mission With Safeguard in Place]:[Impact to Obligations With Safeguard in Place]]))</f>
        <v>2</v>
      </c>
      <c r="BA30" s="167">
        <f>IF(ISERROR(tblRisk[[#This Row],[Impact Score with Safeguard in Place]]*tblRisk[[#This Row],[Likelihood Score with Safeguard in Place]]),"",tblRisk[[#This Row],[Impact Score with Safeguard in Place]]*tblRisk[[#This Row],[Likelihood Score with Safeguard in Place]])</f>
        <v>4</v>
      </c>
      <c r="BB30" s="164">
        <f>tblRisk[[#This Row],[Risk Score With Safeguard in Place]]</f>
        <v>4</v>
      </c>
      <c r="BC30" s="168" t="str">
        <f>IF(tblRisk[[#This Row],[Risk Treatment Option]]&lt;&gt;"Accept",IF(_xlfn.XLOOKUP(tblRisk[[#This Row],[Specific Safeguard Recommendation]],ProTrak[Task],ProTrak[Status],"Not Found")="Completed","Pending Validation","Pending"),"")</f>
        <v/>
      </c>
      <c r="BD30" s="169" t="str">
        <f>_xlfn.XLOOKUP(tblRisk[[#This Row],[Risk Treatment Program]],tblRiskTreatmentPrograms[Risk Treatment Program],tblRiskTreatmentPrograms[Estimated End Date (MM/DD/YYYY)],"")</f>
        <v/>
      </c>
      <c r="BE30" s="170"/>
      <c r="BF30" s="171" t="str">
        <f>_xlfn.IFNA(IF(tblRisk[[#This Row],[Due Date]]&lt;=vWhatIfQuarter,"Closed",""),"")</f>
        <v/>
      </c>
      <c r="BG30" s="171">
        <f>IF(tblRisk[[#This Row],[Scenario Builder Status]]="Closed",tblRisk[[#This Row],[Risk Score With Safeguard in Place]],tblRisk[[#This Row],[Risk Score]])</f>
        <v>4</v>
      </c>
      <c r="BH30" s="192" t="str">
        <f>tblRisk[[#This Row],[Common Security Program]]&amp;tblRisk[[#This Row],[Common Security Control]]&amp;tblRisk[[#This Row],[Asset Designation ]]</f>
        <v>System ManagementGovernanceApplications</v>
      </c>
      <c r="BI30" s="191"/>
      <c r="BJ30" s="191"/>
      <c r="BK30" s="191"/>
      <c r="BL30" s="191"/>
      <c r="BM30" s="191"/>
      <c r="BN30" s="191" t="s">
        <v>117</v>
      </c>
      <c r="BO30" s="191"/>
      <c r="BP30" s="191"/>
      <c r="BQ30" s="191"/>
    </row>
    <row r="31" spans="1:69" ht="78.75" x14ac:dyDescent="0.65">
      <c r="A31" s="160">
        <v>28</v>
      </c>
      <c r="B31" s="160" t="s">
        <v>899</v>
      </c>
      <c r="C31" s="19" t="s">
        <v>1022</v>
      </c>
      <c r="D31" s="28" t="s">
        <v>1150</v>
      </c>
      <c r="E31" s="207" t="s">
        <v>1093</v>
      </c>
      <c r="F31" s="194" t="s">
        <v>117</v>
      </c>
      <c r="G31" s="194" t="s">
        <v>117</v>
      </c>
      <c r="H31" s="194" t="s">
        <v>117</v>
      </c>
      <c r="I31" s="194" t="s">
        <v>1081</v>
      </c>
      <c r="J31" s="194" t="s">
        <v>1081</v>
      </c>
      <c r="K31" s="194" t="s">
        <v>1081</v>
      </c>
      <c r="L31" s="194" t="s">
        <v>1081</v>
      </c>
      <c r="M31" s="194" t="s">
        <v>1081</v>
      </c>
      <c r="N31" s="194">
        <f>COUNTIF(tblRisk[[#This Row],[Defends Against Malware]:[Defends Against Targeted Intrusions]],"Yes")</f>
        <v>5</v>
      </c>
      <c r="O31" s="160" t="s">
        <v>654</v>
      </c>
      <c r="P31" s="160" t="s">
        <v>86</v>
      </c>
      <c r="Q31" s="160" t="s">
        <v>30</v>
      </c>
      <c r="R31" s="160" t="s">
        <v>1085</v>
      </c>
      <c r="S31" s="160" t="s">
        <v>1087</v>
      </c>
      <c r="T31" s="160" t="s">
        <v>1437</v>
      </c>
      <c r="U31" s="160" t="s">
        <v>1438</v>
      </c>
      <c r="V31" s="160" t="s">
        <v>1578</v>
      </c>
      <c r="W31" s="160" t="s">
        <v>1709</v>
      </c>
      <c r="X31" s="160" t="s">
        <v>1739</v>
      </c>
      <c r="Y31" s="151">
        <f>IF(ISBLANK(tblRisk[[#This Row],[Threat Cluster]]),"",_xlfn.XLOOKUP(tblRisk[[#This Row],[Threat Cluster]],tblHIT[Threat Cluster],tblHIT[Quintile]))</f>
        <v>2</v>
      </c>
      <c r="Z31" s="152">
        <v>4</v>
      </c>
      <c r="AA31" s="153" t="str">
        <f>IF(OR(ISBLANK(tblRisk[[#This Row],[HIT Quintile]]),ISBLANK(tblRisk[[#This Row],[Control Maturity]])),"",_xlfn.XLOOKUP(tblRisk[[#This Row],[Control Maturity]] &amp; tblRisk[[#This Row],[HIT Quintile]],tblHITWDI[Lookup],tblHITWDI[Likelihood Description]))</f>
        <v>Foreseeable, not expected</v>
      </c>
      <c r="AB31" s="161">
        <f>IF(ISERROR(tblRisk[[#This Row],[Likelihood of Control Failure]]),"",VLOOKUP(tblRisk[[#This Row],[Likelihood of Control Failure]],tblLikelihood[],2,FALSE))</f>
        <v>2</v>
      </c>
      <c r="AC31" s="154">
        <v>2</v>
      </c>
      <c r="AD31" s="155">
        <v>2</v>
      </c>
      <c r="AE31" s="155">
        <v>2</v>
      </c>
      <c r="AF31" s="162">
        <f>IF(ISBLANK(tblRisk[[#This Row],[Impact to Mission]]),"",MAX(tblRisk[[#This Row],[Impact to Mission]:[Impact to Obligations]]))</f>
        <v>2</v>
      </c>
      <c r="AG31" s="163">
        <f>IF(ISERROR(tblRisk[[#This Row],[Impact Score]]*tblRisk[[#This Row],[Likelihood Score]]),"",tblRisk[[#This Row],[Likelihood Score]]*tblRisk[[#This Row],[Impact Score]])</f>
        <v>4</v>
      </c>
      <c r="AH31" s="163">
        <f>tblRisk[[#This Row],[Risk Score]]</f>
        <v>4</v>
      </c>
      <c r="AI31" s="164">
        <f t="shared" si="1"/>
        <v>9</v>
      </c>
      <c r="AJ31" s="164">
        <f>IF(tblRisk[[#This Row],[Safeguard Status]]="In Place",tblRisk[[#This Row],[Control Maturity after SG]],tblRisk[[#This Row],[Control Maturity]])</f>
        <v>4</v>
      </c>
      <c r="AK31" s="173" t="str">
        <f>IF(tblRisk[[#This Row],[Safeguard Status]]="In Place",tblRisk[[#This Row],[Safeguard Threat Cluster]],tblRisk[[#This Row],[Threat Cluster]])</f>
        <v>Hacking System</v>
      </c>
      <c r="AL31" s="164">
        <f>IF(tblRisk[[#This Row],[Safeguard Status]]="In Place",tblRisk[[#This Row],[Risk Level With Safeguard in Place]],tblRisk[[#This Row],[Risk Level]])</f>
        <v>4</v>
      </c>
      <c r="AM31" s="165" t="s">
        <v>1887</v>
      </c>
      <c r="AN31" s="165" t="str">
        <f>IF(tblRisk[[#This Row],[Risk Treatment Option]]="Manage",_xlfn.IFNA(INDEX(tblRiskTreatmentPrograms[#Data],MATCH(tblRisk[[#This Row],[Common Security Program]]&amp;tblRisk[[#This Row],[Common Security Control]],tblRiskTreatmentPrograms[Lookup],0),MATCH($AN$3,tblRiskTreatmentPrograms[#Headers],0)),txtBadRTP),"")</f>
        <v/>
      </c>
      <c r="AO31" s="165" t="str">
        <f>IF(tblRisk[[#This Row],[Risk Treatment Program]]="","",INDEX(tblRiskTreatmentPrograms[#Data],MATCH(tblRisk[[#This Row],[Risk Treatment Program]],tblRiskTreatmentPrograms[Risk Treatment Program],0),MATCH($AO$3,tblRiskTreatmentPrograms[#Headers],0)))</f>
        <v/>
      </c>
      <c r="AP31" s="165"/>
      <c r="AQ3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1" s="19" t="str">
        <f>tblRisk[[#This Row],[Threat Cluster]]</f>
        <v>Hacking System</v>
      </c>
      <c r="AS31" s="156">
        <f>IF(ISBLANK(tblRisk[[#This Row],[Safeguard Threat Cluster]]),"",_xlfn.XLOOKUP(tblRisk[[#This Row],[Safeguard Threat Cluster]],tblHIT[Threat Cluster],tblHIT[Quintile]))</f>
        <v>2</v>
      </c>
      <c r="AT31" s="157">
        <f>_xlfn.SWITCH(tblRisk[[#This Row],[Risk Treatment Option]],"Manage",tblRisk[[#This Row],[Control Maturity]]+1,tblRisk[[#This Row],[Control Maturity]])</f>
        <v>4</v>
      </c>
      <c r="AU3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1" s="166">
        <f>IF(ISERROR(tblRisk[[#This Row],[Likelihood of Control Failure after SG]]),"",VLOOKUP(tblRisk[[#This Row],[Likelihood of Control Failure after SG]],tblLikelihood[#Data],2,FALSE))</f>
        <v>2</v>
      </c>
      <c r="AW31" s="159">
        <f>tblRisk[[#This Row],[Impact to Mission]]</f>
        <v>2</v>
      </c>
      <c r="AX31" s="159">
        <f>tblRisk[[#This Row],[Impact to Objectives]]</f>
        <v>2</v>
      </c>
      <c r="AY31" s="159">
        <f>tblRisk[[#This Row],[Impact to Obligations]]</f>
        <v>2</v>
      </c>
      <c r="AZ31" s="166">
        <f>IF(ISBLANK(tblRisk[[#This Row],[Impact to Mission With Safeguard in Place]]),"",MAX(tblRisk[[#This Row],[Impact to Mission With Safeguard in Place]:[Impact to Obligations With Safeguard in Place]]))</f>
        <v>2</v>
      </c>
      <c r="BA31" s="167">
        <f>IF(ISERROR(tblRisk[[#This Row],[Impact Score with Safeguard in Place]]*tblRisk[[#This Row],[Likelihood Score with Safeguard in Place]]),"",tblRisk[[#This Row],[Impact Score with Safeguard in Place]]*tblRisk[[#This Row],[Likelihood Score with Safeguard in Place]])</f>
        <v>4</v>
      </c>
      <c r="BB31" s="164">
        <f>tblRisk[[#This Row],[Risk Score With Safeguard in Place]]</f>
        <v>4</v>
      </c>
      <c r="BC31" s="168" t="str">
        <f>IF(tblRisk[[#This Row],[Risk Treatment Option]]&lt;&gt;"Accept",IF(_xlfn.XLOOKUP(tblRisk[[#This Row],[Specific Safeguard Recommendation]],ProTrak[Task],ProTrak[Status],"Not Found")="Completed","Pending Validation","Pending"),"")</f>
        <v/>
      </c>
      <c r="BD31" s="169" t="str">
        <f>_xlfn.XLOOKUP(tblRisk[[#This Row],[Risk Treatment Program]],tblRiskTreatmentPrograms[Risk Treatment Program],tblRiskTreatmentPrograms[Estimated End Date (MM/DD/YYYY)],"")</f>
        <v/>
      </c>
      <c r="BE31" s="170"/>
      <c r="BF31" s="171" t="str">
        <f>_xlfn.IFNA(IF(tblRisk[[#This Row],[Due Date]]&lt;=vWhatIfQuarter,"Closed",""),"")</f>
        <v/>
      </c>
      <c r="BG31" s="171">
        <f>IF(tblRisk[[#This Row],[Scenario Builder Status]]="Closed",tblRisk[[#This Row],[Risk Score With Safeguard in Place]],tblRisk[[#This Row],[Risk Score]])</f>
        <v>4</v>
      </c>
      <c r="BH31" s="192" t="str">
        <f>tblRisk[[#This Row],[Common Security Program]]&amp;tblRisk[[#This Row],[Common Security Control]]&amp;tblRisk[[#This Row],[Asset Designation ]]</f>
        <v>Network Device ManagementGovernanceNetwork</v>
      </c>
      <c r="BI31" s="191"/>
      <c r="BJ31" s="191"/>
      <c r="BK31" s="191"/>
      <c r="BL31" s="191"/>
      <c r="BM31" s="191"/>
      <c r="BN31" s="191"/>
      <c r="BO31" s="191"/>
      <c r="BP31" s="191" t="s">
        <v>117</v>
      </c>
      <c r="BQ31" s="191"/>
    </row>
    <row r="32" spans="1:69" ht="78.75" x14ac:dyDescent="0.65">
      <c r="A32" s="160">
        <v>29</v>
      </c>
      <c r="B32" s="160" t="s">
        <v>899</v>
      </c>
      <c r="C32" s="19" t="s">
        <v>921</v>
      </c>
      <c r="D32" s="28" t="s">
        <v>1151</v>
      </c>
      <c r="E32" s="207" t="s">
        <v>1092</v>
      </c>
      <c r="F32" s="194" t="s">
        <v>117</v>
      </c>
      <c r="G32" s="194" t="s">
        <v>117</v>
      </c>
      <c r="H32" s="194" t="s">
        <v>117</v>
      </c>
      <c r="I32" s="194" t="s">
        <v>1080</v>
      </c>
      <c r="J32" s="194" t="s">
        <v>1080</v>
      </c>
      <c r="K32" s="194" t="s">
        <v>1080</v>
      </c>
      <c r="L32" s="194" t="s">
        <v>1080</v>
      </c>
      <c r="M32" s="194" t="s">
        <v>1081</v>
      </c>
      <c r="N32" s="194">
        <f>COUNTIF(tblRisk[[#This Row],[Defends Against Malware]:[Defends Against Targeted Intrusions]],"Yes")</f>
        <v>1</v>
      </c>
      <c r="O32" s="160" t="s">
        <v>653</v>
      </c>
      <c r="P32" s="160" t="s">
        <v>88</v>
      </c>
      <c r="Q32" s="160" t="s">
        <v>34</v>
      </c>
      <c r="R32" s="160" t="s">
        <v>1086</v>
      </c>
      <c r="S32" s="160" t="s">
        <v>1436</v>
      </c>
      <c r="T32" s="160" t="s">
        <v>1434</v>
      </c>
      <c r="U32" s="160" t="s">
        <v>1435</v>
      </c>
      <c r="V32" s="160" t="s">
        <v>1579</v>
      </c>
      <c r="W32" s="160" t="s">
        <v>1740</v>
      </c>
      <c r="X32" s="160" t="s">
        <v>1741</v>
      </c>
      <c r="Y32" s="151">
        <f>IF(ISBLANK(tblRisk[[#This Row],[Threat Cluster]]),"",_xlfn.XLOOKUP(tblRisk[[#This Row],[Threat Cluster]],tblHIT[Threat Cluster],tblHIT[Quintile]))</f>
        <v>2</v>
      </c>
      <c r="Z32" s="152">
        <v>3</v>
      </c>
      <c r="AA32" s="153" t="str">
        <f>IF(OR(ISBLANK(tblRisk[[#This Row],[HIT Quintile]]),ISBLANK(tblRisk[[#This Row],[Control Maturity]])),"",_xlfn.XLOOKUP(tblRisk[[#This Row],[Control Maturity]] &amp; tblRisk[[#This Row],[HIT Quintile]],tblHITWDI[Lookup],tblHITWDI[Likelihood Description]))</f>
        <v>Foreseeable, expected</v>
      </c>
      <c r="AB32" s="161">
        <f>IF(ISERROR(tblRisk[[#This Row],[Likelihood of Control Failure]]),"",VLOOKUP(tblRisk[[#This Row],[Likelihood of Control Failure]],tblLikelihood[],2,FALSE))</f>
        <v>3</v>
      </c>
      <c r="AC32" s="154">
        <v>2</v>
      </c>
      <c r="AD32" s="155">
        <v>2</v>
      </c>
      <c r="AE32" s="155">
        <v>2</v>
      </c>
      <c r="AF32" s="162">
        <f>IF(ISBLANK(tblRisk[[#This Row],[Impact to Mission]]),"",MAX(tblRisk[[#This Row],[Impact to Mission]:[Impact to Obligations]]))</f>
        <v>2</v>
      </c>
      <c r="AG32" s="163">
        <f>IF(ISERROR(tblRisk[[#This Row],[Impact Score]]*tblRisk[[#This Row],[Likelihood Score]]),"",tblRisk[[#This Row],[Likelihood Score]]*tblRisk[[#This Row],[Impact Score]])</f>
        <v>6</v>
      </c>
      <c r="AH32" s="163">
        <f>tblRisk[[#This Row],[Risk Score]]</f>
        <v>6</v>
      </c>
      <c r="AI32" s="164">
        <f t="shared" si="1"/>
        <v>9</v>
      </c>
      <c r="AJ32" s="164">
        <f>IF(tblRisk[[#This Row],[Safeguard Status]]="In Place",tblRisk[[#This Row],[Control Maturity after SG]],tblRisk[[#This Row],[Control Maturity]])</f>
        <v>3</v>
      </c>
      <c r="AK32" s="173" t="str">
        <f>IF(tblRisk[[#This Row],[Safeguard Status]]="In Place",tblRisk[[#This Row],[Safeguard Threat Cluster]],tblRisk[[#This Row],[Threat Cluster]])</f>
        <v>Personnel Misuse</v>
      </c>
      <c r="AL32" s="164">
        <f>IF(tblRisk[[#This Row],[Safeguard Status]]="In Place",tblRisk[[#This Row],[Risk Level With Safeguard in Place]],tblRisk[[#This Row],[Risk Level]])</f>
        <v>6</v>
      </c>
      <c r="AM32" s="165" t="s">
        <v>1887</v>
      </c>
      <c r="AN32" s="165" t="str">
        <f>IF(tblRisk[[#This Row],[Risk Treatment Option]]="Manage",_xlfn.IFNA(INDEX(tblRiskTreatmentPrograms[#Data],MATCH(tblRisk[[#This Row],[Common Security Program]]&amp;tblRisk[[#This Row],[Common Security Control]],tblRiskTreatmentPrograms[Lookup],0),MATCH($AN$3,tblRiskTreatmentPrograms[#Headers],0)),txtBadRTP),"")</f>
        <v/>
      </c>
      <c r="AO32" s="165" t="str">
        <f>IF(tblRisk[[#This Row],[Risk Treatment Program]]="","",INDEX(tblRiskTreatmentPrograms[#Data],MATCH(tblRisk[[#This Row],[Risk Treatment Program]],tblRiskTreatmentPrograms[Risk Treatment Program],0),MATCH($AO$3,tblRiskTreatmentPrograms[#Headers],0)))</f>
        <v/>
      </c>
      <c r="AP32" s="165"/>
      <c r="AQ3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2" s="19" t="str">
        <f>tblRisk[[#This Row],[Threat Cluster]]</f>
        <v>Personnel Misuse</v>
      </c>
      <c r="AS32" s="156">
        <f>IF(ISBLANK(tblRisk[[#This Row],[Safeguard Threat Cluster]]),"",_xlfn.XLOOKUP(tblRisk[[#This Row],[Safeguard Threat Cluster]],tblHIT[Threat Cluster],tblHIT[Quintile]))</f>
        <v>2</v>
      </c>
      <c r="AT32" s="157">
        <f>_xlfn.SWITCH(tblRisk[[#This Row],[Risk Treatment Option]],"Manage",tblRisk[[#This Row],[Control Maturity]]+1,tblRisk[[#This Row],[Control Maturity]])</f>
        <v>3</v>
      </c>
      <c r="AU32" s="158" t="str">
        <f>IF(OR(ISBLANK(tblRisk[[#This Row],[Safeguard HIT Quintile]]),ISBLANK(tblRisk[[#This Row],[Control Maturity after SG]])),"",_xlfn.XLOOKUP(tblRisk[[#This Row],[Control Maturity after SG]] &amp;tblRisk[[#This Row],[Safeguard HIT Quintile]],tblHITWDI[Lookup],tblHITWDI[Likelihood Description]))</f>
        <v>Foreseeable, expected</v>
      </c>
      <c r="AV32" s="166">
        <f>IF(ISERROR(tblRisk[[#This Row],[Likelihood of Control Failure after SG]]),"",VLOOKUP(tblRisk[[#This Row],[Likelihood of Control Failure after SG]],tblLikelihood[#Data],2,FALSE))</f>
        <v>3</v>
      </c>
      <c r="AW32" s="159">
        <f>tblRisk[[#This Row],[Impact to Mission]]</f>
        <v>2</v>
      </c>
      <c r="AX32" s="159">
        <f>tblRisk[[#This Row],[Impact to Objectives]]</f>
        <v>2</v>
      </c>
      <c r="AY32" s="159">
        <f>tblRisk[[#This Row],[Impact to Obligations]]</f>
        <v>2</v>
      </c>
      <c r="AZ32" s="166">
        <f>IF(ISBLANK(tblRisk[[#This Row],[Impact to Mission With Safeguard in Place]]),"",MAX(tblRisk[[#This Row],[Impact to Mission With Safeguard in Place]:[Impact to Obligations With Safeguard in Place]]))</f>
        <v>2</v>
      </c>
      <c r="BA32" s="167">
        <f>IF(ISERROR(tblRisk[[#This Row],[Impact Score with Safeguard in Place]]*tblRisk[[#This Row],[Likelihood Score with Safeguard in Place]]),"",tblRisk[[#This Row],[Impact Score with Safeguard in Place]]*tblRisk[[#This Row],[Likelihood Score with Safeguard in Place]])</f>
        <v>6</v>
      </c>
      <c r="BB32" s="164">
        <f>tblRisk[[#This Row],[Risk Score With Safeguard in Place]]</f>
        <v>6</v>
      </c>
      <c r="BC32" s="168" t="str">
        <f>IF(tblRisk[[#This Row],[Risk Treatment Option]]&lt;&gt;"Accept",IF(_xlfn.XLOOKUP(tblRisk[[#This Row],[Specific Safeguard Recommendation]],ProTrak[Task],ProTrak[Status],"Not Found")="Completed","Pending Validation","Pending"),"")</f>
        <v/>
      </c>
      <c r="BD32" s="169" t="str">
        <f>_xlfn.XLOOKUP(tblRisk[[#This Row],[Risk Treatment Program]],tblRiskTreatmentPrograms[Risk Treatment Program],tblRiskTreatmentPrograms[Estimated End Date (MM/DD/YYYY)],"")</f>
        <v/>
      </c>
      <c r="BE32" s="170"/>
      <c r="BF32" s="171" t="str">
        <f>_xlfn.IFNA(IF(tblRisk[[#This Row],[Due Date]]&lt;=vWhatIfQuarter,"Closed",""),"")</f>
        <v/>
      </c>
      <c r="BG32" s="171">
        <f>IF(tblRisk[[#This Row],[Scenario Builder Status]]="Closed",tblRisk[[#This Row],[Risk Score With Safeguard in Place]],tblRisk[[#This Row],[Risk Score]])</f>
        <v>6</v>
      </c>
      <c r="BH32" s="192" t="str">
        <f>tblRisk[[#This Row],[Common Security Program]]&amp;tblRisk[[#This Row],[Common Security Control]]&amp;tblRisk[[#This Row],[Asset Designation ]]</f>
        <v>System ManagementOperationUsers</v>
      </c>
      <c r="BI32" s="191"/>
      <c r="BJ32" s="191"/>
      <c r="BK32" s="191"/>
      <c r="BL32" s="191" t="s">
        <v>117</v>
      </c>
      <c r="BM32" s="191"/>
      <c r="BN32" s="191"/>
      <c r="BO32" s="191"/>
      <c r="BP32" s="191"/>
      <c r="BQ32" s="191"/>
    </row>
    <row r="33" spans="1:69" ht="78.75" x14ac:dyDescent="0.65">
      <c r="A33" s="160">
        <v>30</v>
      </c>
      <c r="B33" s="160" t="s">
        <v>899</v>
      </c>
      <c r="C33" s="19" t="s">
        <v>922</v>
      </c>
      <c r="D33" s="28" t="s">
        <v>1152</v>
      </c>
      <c r="E33" s="207" t="s">
        <v>1092</v>
      </c>
      <c r="F33" s="194" t="s">
        <v>117</v>
      </c>
      <c r="G33" s="194" t="s">
        <v>117</v>
      </c>
      <c r="H33" s="194" t="s">
        <v>117</v>
      </c>
      <c r="I33" s="194" t="s">
        <v>1081</v>
      </c>
      <c r="J33" s="194" t="s">
        <v>1081</v>
      </c>
      <c r="K33" s="194" t="s">
        <v>1081</v>
      </c>
      <c r="L33" s="194" t="s">
        <v>1081</v>
      </c>
      <c r="M33" s="194" t="s">
        <v>1081</v>
      </c>
      <c r="N33" s="194">
        <f>COUNTIF(tblRisk[[#This Row],[Defends Against Malware]:[Defends Against Targeted Intrusions]],"Yes")</f>
        <v>5</v>
      </c>
      <c r="O33" s="160" t="s">
        <v>653</v>
      </c>
      <c r="P33" s="160" t="s">
        <v>88</v>
      </c>
      <c r="Q33" s="160" t="s">
        <v>611</v>
      </c>
      <c r="R33" s="160" t="s">
        <v>1082</v>
      </c>
      <c r="S33" s="160" t="s">
        <v>1436</v>
      </c>
      <c r="T33" s="160" t="s">
        <v>1434</v>
      </c>
      <c r="U33" s="160" t="s">
        <v>1435</v>
      </c>
      <c r="V33" s="160" t="s">
        <v>1580</v>
      </c>
      <c r="W33" s="160" t="s">
        <v>1709</v>
      </c>
      <c r="X33" s="160" t="s">
        <v>1742</v>
      </c>
      <c r="Y33" s="151">
        <f>IF(ISBLANK(tblRisk[[#This Row],[Threat Cluster]]),"",_xlfn.XLOOKUP(tblRisk[[#This Row],[Threat Cluster]],tblHIT[Threat Cluster],tblHIT[Quintile]))</f>
        <v>3</v>
      </c>
      <c r="Z33" s="152">
        <v>4</v>
      </c>
      <c r="AA33" s="153" t="str">
        <f>IF(OR(ISBLANK(tblRisk[[#This Row],[HIT Quintile]]),ISBLANK(tblRisk[[#This Row],[Control Maturity]])),"",_xlfn.XLOOKUP(tblRisk[[#This Row],[Control Maturity]] &amp; tblRisk[[#This Row],[HIT Quintile]],tblHITWDI[Lookup],tblHITWDI[Likelihood Description]))</f>
        <v>Foreseeable, not expected</v>
      </c>
      <c r="AB33" s="161">
        <f>IF(ISERROR(tblRisk[[#This Row],[Likelihood of Control Failure]]),"",VLOOKUP(tblRisk[[#This Row],[Likelihood of Control Failure]],tblLikelihood[],2,FALSE))</f>
        <v>2</v>
      </c>
      <c r="AC33" s="154">
        <v>2</v>
      </c>
      <c r="AD33" s="155">
        <v>2</v>
      </c>
      <c r="AE33" s="155">
        <v>2</v>
      </c>
      <c r="AF33" s="162">
        <f>IF(ISBLANK(tblRisk[[#This Row],[Impact to Mission]]),"",MAX(tblRisk[[#This Row],[Impact to Mission]:[Impact to Obligations]]))</f>
        <v>2</v>
      </c>
      <c r="AG33" s="163">
        <f>IF(ISERROR(tblRisk[[#This Row],[Impact Score]]*tblRisk[[#This Row],[Likelihood Score]]),"",tblRisk[[#This Row],[Likelihood Score]]*tblRisk[[#This Row],[Impact Score]])</f>
        <v>4</v>
      </c>
      <c r="AH33" s="163">
        <f>tblRisk[[#This Row],[Risk Score]]</f>
        <v>4</v>
      </c>
      <c r="AI33" s="164">
        <f t="shared" si="1"/>
        <v>9</v>
      </c>
      <c r="AJ33" s="164">
        <f>IF(tblRisk[[#This Row],[Safeguard Status]]="In Place",tblRisk[[#This Row],[Control Maturity after SG]],tblRisk[[#This Row],[Control Maturity]])</f>
        <v>4</v>
      </c>
      <c r="AK33" s="173" t="str">
        <f>IF(tblRisk[[#This Row],[Safeguard Status]]="In Place",tblRisk[[#This Row],[Safeguard Threat Cluster]],tblRisk[[#This Row],[Threat Cluster]])</f>
        <v>Physical Facility</v>
      </c>
      <c r="AL33" s="164">
        <f>IF(tblRisk[[#This Row],[Safeguard Status]]="In Place",tblRisk[[#This Row],[Risk Level With Safeguard in Place]],tblRisk[[#This Row],[Risk Level]])</f>
        <v>4</v>
      </c>
      <c r="AM33" s="165" t="s">
        <v>1887</v>
      </c>
      <c r="AN33" s="165" t="str">
        <f>IF(tblRisk[[#This Row],[Risk Treatment Option]]="Manage",_xlfn.IFNA(INDEX(tblRiskTreatmentPrograms[#Data],MATCH(tblRisk[[#This Row],[Common Security Program]]&amp;tblRisk[[#This Row],[Common Security Control]],tblRiskTreatmentPrograms[Lookup],0),MATCH($AN$3,tblRiskTreatmentPrograms[#Headers],0)),txtBadRTP),"")</f>
        <v/>
      </c>
      <c r="AO33" s="165" t="str">
        <f>IF(tblRisk[[#This Row],[Risk Treatment Program]]="","",INDEX(tblRiskTreatmentPrograms[#Data],MATCH(tblRisk[[#This Row],[Risk Treatment Program]],tblRiskTreatmentPrograms[Risk Treatment Program],0),MATCH($AO$3,tblRiskTreatmentPrograms[#Headers],0)))</f>
        <v/>
      </c>
      <c r="AP33" s="165"/>
      <c r="AQ3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3" s="19" t="str">
        <f>tblRisk[[#This Row],[Threat Cluster]]</f>
        <v>Physical Facility</v>
      </c>
      <c r="AS33" s="156">
        <f>IF(ISBLANK(tblRisk[[#This Row],[Safeguard Threat Cluster]]),"",_xlfn.XLOOKUP(tblRisk[[#This Row],[Safeguard Threat Cluster]],tblHIT[Threat Cluster],tblHIT[Quintile]))</f>
        <v>3</v>
      </c>
      <c r="AT33" s="157">
        <f>_xlfn.SWITCH(tblRisk[[#This Row],[Risk Treatment Option]],"Manage",tblRisk[[#This Row],[Control Maturity]]+1,tblRisk[[#This Row],[Control Maturity]])</f>
        <v>4</v>
      </c>
      <c r="AU3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3" s="166">
        <f>IF(ISERROR(tblRisk[[#This Row],[Likelihood of Control Failure after SG]]),"",VLOOKUP(tblRisk[[#This Row],[Likelihood of Control Failure after SG]],tblLikelihood[#Data],2,FALSE))</f>
        <v>2</v>
      </c>
      <c r="AW33" s="159">
        <f>tblRisk[[#This Row],[Impact to Mission]]</f>
        <v>2</v>
      </c>
      <c r="AX33" s="159">
        <f>tblRisk[[#This Row],[Impact to Objectives]]</f>
        <v>2</v>
      </c>
      <c r="AY33" s="159">
        <f>tblRisk[[#This Row],[Impact to Obligations]]</f>
        <v>2</v>
      </c>
      <c r="AZ33" s="166">
        <f>IF(ISBLANK(tblRisk[[#This Row],[Impact to Mission With Safeguard in Place]]),"",MAX(tblRisk[[#This Row],[Impact to Mission With Safeguard in Place]:[Impact to Obligations With Safeguard in Place]]))</f>
        <v>2</v>
      </c>
      <c r="BA33" s="167">
        <f>IF(ISERROR(tblRisk[[#This Row],[Impact Score with Safeguard in Place]]*tblRisk[[#This Row],[Likelihood Score with Safeguard in Place]]),"",tblRisk[[#This Row],[Impact Score with Safeguard in Place]]*tblRisk[[#This Row],[Likelihood Score with Safeguard in Place]])</f>
        <v>4</v>
      </c>
      <c r="BB33" s="164">
        <f>tblRisk[[#This Row],[Risk Score With Safeguard in Place]]</f>
        <v>4</v>
      </c>
      <c r="BC33" s="168" t="str">
        <f>IF(tblRisk[[#This Row],[Risk Treatment Option]]&lt;&gt;"Accept",IF(_xlfn.XLOOKUP(tblRisk[[#This Row],[Specific Safeguard Recommendation]],ProTrak[Task],ProTrak[Status],"Not Found")="Completed","Pending Validation","Pending"),"")</f>
        <v/>
      </c>
      <c r="BD33" s="169" t="str">
        <f>_xlfn.XLOOKUP(tblRisk[[#This Row],[Risk Treatment Program]],tblRiskTreatmentPrograms[Risk Treatment Program],tblRiskTreatmentPrograms[Estimated End Date (MM/DD/YYYY)],"")</f>
        <v/>
      </c>
      <c r="BE33" s="170"/>
      <c r="BF33" s="171" t="str">
        <f>_xlfn.IFNA(IF(tblRisk[[#This Row],[Due Date]]&lt;=vWhatIfQuarter,"Closed",""),"")</f>
        <v/>
      </c>
      <c r="BG33" s="171">
        <f>IF(tblRisk[[#This Row],[Scenario Builder Status]]="Closed",tblRisk[[#This Row],[Risk Score With Safeguard in Place]],tblRisk[[#This Row],[Risk Score]])</f>
        <v>4</v>
      </c>
      <c r="BH33" s="192" t="str">
        <f>tblRisk[[#This Row],[Common Security Program]]&amp;tblRisk[[#This Row],[Common Security Control]]&amp;tblRisk[[#This Row],[Asset Designation ]]</f>
        <v>System ManagementOperationDevices</v>
      </c>
      <c r="BI33" s="191"/>
      <c r="BJ33" s="191"/>
      <c r="BK33" s="191"/>
      <c r="BL33" s="191" t="s">
        <v>117</v>
      </c>
      <c r="BM33" s="191"/>
      <c r="BN33" s="191"/>
      <c r="BO33" s="191"/>
      <c r="BP33" s="191"/>
      <c r="BQ33" s="191"/>
    </row>
    <row r="34" spans="1:69" ht="78.75" x14ac:dyDescent="0.65">
      <c r="A34" s="160">
        <v>31</v>
      </c>
      <c r="B34" s="160" t="s">
        <v>899</v>
      </c>
      <c r="C34" s="19" t="s">
        <v>923</v>
      </c>
      <c r="D34" s="28" t="s">
        <v>1153</v>
      </c>
      <c r="E34" s="207" t="s">
        <v>1092</v>
      </c>
      <c r="F34" s="194" t="s">
        <v>117</v>
      </c>
      <c r="G34" s="194" t="s">
        <v>117</v>
      </c>
      <c r="H34" s="194" t="s">
        <v>117</v>
      </c>
      <c r="I34" s="194" t="s">
        <v>1081</v>
      </c>
      <c r="J34" s="194" t="s">
        <v>1081</v>
      </c>
      <c r="K34" s="194" t="s">
        <v>1081</v>
      </c>
      <c r="L34" s="194" t="s">
        <v>1081</v>
      </c>
      <c r="M34" s="194" t="s">
        <v>1081</v>
      </c>
      <c r="N34" s="194">
        <f>COUNTIF(tblRisk[[#This Row],[Defends Against Malware]:[Defends Against Targeted Intrusions]],"Yes")</f>
        <v>5</v>
      </c>
      <c r="O34" s="160" t="s">
        <v>653</v>
      </c>
      <c r="P34" s="160" t="s">
        <v>88</v>
      </c>
      <c r="Q34" s="160" t="s">
        <v>611</v>
      </c>
      <c r="R34" s="160" t="s">
        <v>1082</v>
      </c>
      <c r="S34" s="160" t="s">
        <v>1436</v>
      </c>
      <c r="T34" s="160" t="s">
        <v>1434</v>
      </c>
      <c r="U34" s="160" t="s">
        <v>1435</v>
      </c>
      <c r="V34" s="160" t="s">
        <v>1581</v>
      </c>
      <c r="W34" s="160" t="s">
        <v>1709</v>
      </c>
      <c r="X34" s="160" t="s">
        <v>1743</v>
      </c>
      <c r="Y34" s="151">
        <f>IF(ISBLANK(tblRisk[[#This Row],[Threat Cluster]]),"",_xlfn.XLOOKUP(tblRisk[[#This Row],[Threat Cluster]],tblHIT[Threat Cluster],tblHIT[Quintile]))</f>
        <v>3</v>
      </c>
      <c r="Z34" s="152">
        <v>4</v>
      </c>
      <c r="AA34" s="153" t="str">
        <f>IF(OR(ISBLANK(tblRisk[[#This Row],[HIT Quintile]]),ISBLANK(tblRisk[[#This Row],[Control Maturity]])),"",_xlfn.XLOOKUP(tblRisk[[#This Row],[Control Maturity]] &amp; tblRisk[[#This Row],[HIT Quintile]],tblHITWDI[Lookup],tblHITWDI[Likelihood Description]))</f>
        <v>Foreseeable, not expected</v>
      </c>
      <c r="AB34" s="161">
        <f>IF(ISERROR(tblRisk[[#This Row],[Likelihood of Control Failure]]),"",VLOOKUP(tblRisk[[#This Row],[Likelihood of Control Failure]],tblLikelihood[],2,FALSE))</f>
        <v>2</v>
      </c>
      <c r="AC34" s="154">
        <v>2</v>
      </c>
      <c r="AD34" s="155">
        <v>2</v>
      </c>
      <c r="AE34" s="155">
        <v>2</v>
      </c>
      <c r="AF34" s="162">
        <f>IF(ISBLANK(tblRisk[[#This Row],[Impact to Mission]]),"",MAX(tblRisk[[#This Row],[Impact to Mission]:[Impact to Obligations]]))</f>
        <v>2</v>
      </c>
      <c r="AG34" s="163">
        <f>IF(ISERROR(tblRisk[[#This Row],[Impact Score]]*tblRisk[[#This Row],[Likelihood Score]]),"",tblRisk[[#This Row],[Likelihood Score]]*tblRisk[[#This Row],[Impact Score]])</f>
        <v>4</v>
      </c>
      <c r="AH34" s="163">
        <f>tblRisk[[#This Row],[Risk Score]]</f>
        <v>4</v>
      </c>
      <c r="AI34" s="164">
        <f t="shared" si="1"/>
        <v>9</v>
      </c>
      <c r="AJ34" s="164">
        <f>IF(tblRisk[[#This Row],[Safeguard Status]]="In Place",tblRisk[[#This Row],[Control Maturity after SG]],tblRisk[[#This Row],[Control Maturity]])</f>
        <v>4</v>
      </c>
      <c r="AK34" s="173" t="str">
        <f>IF(tblRisk[[#This Row],[Safeguard Status]]="In Place",tblRisk[[#This Row],[Safeguard Threat Cluster]],tblRisk[[#This Row],[Threat Cluster]])</f>
        <v>Physical Facility</v>
      </c>
      <c r="AL34" s="164">
        <f>IF(tblRisk[[#This Row],[Safeguard Status]]="In Place",tblRisk[[#This Row],[Risk Level With Safeguard in Place]],tblRisk[[#This Row],[Risk Level]])</f>
        <v>4</v>
      </c>
      <c r="AM34" s="165" t="s">
        <v>1887</v>
      </c>
      <c r="AN34" s="165" t="str">
        <f>IF(tblRisk[[#This Row],[Risk Treatment Option]]="Manage",_xlfn.IFNA(INDEX(tblRiskTreatmentPrograms[#Data],MATCH(tblRisk[[#This Row],[Common Security Program]]&amp;tblRisk[[#This Row],[Common Security Control]],tblRiskTreatmentPrograms[Lookup],0),MATCH($AN$3,tblRiskTreatmentPrograms[#Headers],0)),txtBadRTP),"")</f>
        <v/>
      </c>
      <c r="AO34" s="165" t="str">
        <f>IF(tblRisk[[#This Row],[Risk Treatment Program]]="","",INDEX(tblRiskTreatmentPrograms[#Data],MATCH(tblRisk[[#This Row],[Risk Treatment Program]],tblRiskTreatmentPrograms[Risk Treatment Program],0),MATCH($AO$3,tblRiskTreatmentPrograms[#Headers],0)))</f>
        <v/>
      </c>
      <c r="AP34" s="165"/>
      <c r="AQ3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4" s="19" t="str">
        <f>tblRisk[[#This Row],[Threat Cluster]]</f>
        <v>Physical Facility</v>
      </c>
      <c r="AS34" s="156">
        <f>IF(ISBLANK(tblRisk[[#This Row],[Safeguard Threat Cluster]]),"",_xlfn.XLOOKUP(tblRisk[[#This Row],[Safeguard Threat Cluster]],tblHIT[Threat Cluster],tblHIT[Quintile]))</f>
        <v>3</v>
      </c>
      <c r="AT34" s="157">
        <f>_xlfn.SWITCH(tblRisk[[#This Row],[Risk Treatment Option]],"Manage",tblRisk[[#This Row],[Control Maturity]]+1,tblRisk[[#This Row],[Control Maturity]])</f>
        <v>4</v>
      </c>
      <c r="AU3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4" s="166">
        <f>IF(ISERROR(tblRisk[[#This Row],[Likelihood of Control Failure after SG]]),"",VLOOKUP(tblRisk[[#This Row],[Likelihood of Control Failure after SG]],tblLikelihood[#Data],2,FALSE))</f>
        <v>2</v>
      </c>
      <c r="AW34" s="159">
        <f>tblRisk[[#This Row],[Impact to Mission]]</f>
        <v>2</v>
      </c>
      <c r="AX34" s="159">
        <f>tblRisk[[#This Row],[Impact to Objectives]]</f>
        <v>2</v>
      </c>
      <c r="AY34" s="159">
        <f>tblRisk[[#This Row],[Impact to Obligations]]</f>
        <v>2</v>
      </c>
      <c r="AZ34" s="166">
        <f>IF(ISBLANK(tblRisk[[#This Row],[Impact to Mission With Safeguard in Place]]),"",MAX(tblRisk[[#This Row],[Impact to Mission With Safeguard in Place]:[Impact to Obligations With Safeguard in Place]]))</f>
        <v>2</v>
      </c>
      <c r="BA34" s="167">
        <f>IF(ISERROR(tblRisk[[#This Row],[Impact Score with Safeguard in Place]]*tblRisk[[#This Row],[Likelihood Score with Safeguard in Place]]),"",tblRisk[[#This Row],[Impact Score with Safeguard in Place]]*tblRisk[[#This Row],[Likelihood Score with Safeguard in Place]])</f>
        <v>4</v>
      </c>
      <c r="BB34" s="164">
        <f>tblRisk[[#This Row],[Risk Score With Safeguard in Place]]</f>
        <v>4</v>
      </c>
      <c r="BC34" s="168" t="str">
        <f>IF(tblRisk[[#This Row],[Risk Treatment Option]]&lt;&gt;"Accept",IF(_xlfn.XLOOKUP(tblRisk[[#This Row],[Specific Safeguard Recommendation]],ProTrak[Task],ProTrak[Status],"Not Found")="Completed","Pending Validation","Pending"),"")</f>
        <v/>
      </c>
      <c r="BD34" s="169" t="str">
        <f>_xlfn.XLOOKUP(tblRisk[[#This Row],[Risk Treatment Program]],tblRiskTreatmentPrograms[Risk Treatment Program],tblRiskTreatmentPrograms[Estimated End Date (MM/DD/YYYY)],"")</f>
        <v/>
      </c>
      <c r="BE34" s="170"/>
      <c r="BF34" s="171" t="str">
        <f>_xlfn.IFNA(IF(tblRisk[[#This Row],[Due Date]]&lt;=vWhatIfQuarter,"Closed",""),"")</f>
        <v/>
      </c>
      <c r="BG34" s="171">
        <f>IF(tblRisk[[#This Row],[Scenario Builder Status]]="Closed",tblRisk[[#This Row],[Risk Score With Safeguard in Place]],tblRisk[[#This Row],[Risk Score]])</f>
        <v>4</v>
      </c>
      <c r="BH34" s="192" t="str">
        <f>tblRisk[[#This Row],[Common Security Program]]&amp;tblRisk[[#This Row],[Common Security Control]]&amp;tblRisk[[#This Row],[Asset Designation ]]</f>
        <v>System ManagementOperationDevices</v>
      </c>
      <c r="BI34" s="191"/>
      <c r="BJ34" s="191"/>
      <c r="BK34" s="191"/>
      <c r="BL34" s="191"/>
      <c r="BM34" s="191"/>
      <c r="BN34" s="191" t="s">
        <v>117</v>
      </c>
      <c r="BO34" s="191"/>
      <c r="BP34" s="191"/>
      <c r="BQ34" s="191"/>
    </row>
    <row r="35" spans="1:69" ht="78.75" x14ac:dyDescent="0.65">
      <c r="A35" s="160">
        <v>32</v>
      </c>
      <c r="B35" s="160" t="s">
        <v>899</v>
      </c>
      <c r="C35" s="19" t="s">
        <v>924</v>
      </c>
      <c r="D35" s="28" t="s">
        <v>1154</v>
      </c>
      <c r="E35" s="207" t="s">
        <v>1092</v>
      </c>
      <c r="F35" s="194" t="s">
        <v>117</v>
      </c>
      <c r="G35" s="194" t="s">
        <v>117</v>
      </c>
      <c r="H35" s="194" t="s">
        <v>117</v>
      </c>
      <c r="I35" s="194" t="s">
        <v>1081</v>
      </c>
      <c r="J35" s="194" t="s">
        <v>1081</v>
      </c>
      <c r="K35" s="194" t="s">
        <v>1081</v>
      </c>
      <c r="L35" s="194" t="s">
        <v>1081</v>
      </c>
      <c r="M35" s="194" t="s">
        <v>1080</v>
      </c>
      <c r="N35" s="194">
        <f>COUNTIF(tblRisk[[#This Row],[Defends Against Malware]:[Defends Against Targeted Intrusions]],"Yes")</f>
        <v>4</v>
      </c>
      <c r="O35" s="160" t="s">
        <v>653</v>
      </c>
      <c r="P35" s="160" t="s">
        <v>88</v>
      </c>
      <c r="Q35" s="160" t="s">
        <v>30</v>
      </c>
      <c r="R35" s="160" t="s">
        <v>1085</v>
      </c>
      <c r="S35" s="160" t="s">
        <v>1436</v>
      </c>
      <c r="T35" s="160" t="s">
        <v>1434</v>
      </c>
      <c r="U35" s="160" t="s">
        <v>1435</v>
      </c>
      <c r="V35" s="19" t="s">
        <v>1630</v>
      </c>
      <c r="W35" s="160" t="s">
        <v>1709</v>
      </c>
      <c r="X35" s="160" t="s">
        <v>1744</v>
      </c>
      <c r="Y35" s="151">
        <f>IF(ISBLANK(tblRisk[[#This Row],[Threat Cluster]]),"",_xlfn.XLOOKUP(tblRisk[[#This Row],[Threat Cluster]],tblHIT[Threat Cluster],tblHIT[Quintile]))</f>
        <v>2</v>
      </c>
      <c r="Z35" s="152">
        <v>4</v>
      </c>
      <c r="AA35" s="153" t="str">
        <f>IF(OR(ISBLANK(tblRisk[[#This Row],[HIT Quintile]]),ISBLANK(tblRisk[[#This Row],[Control Maturity]])),"",_xlfn.XLOOKUP(tblRisk[[#This Row],[Control Maturity]] &amp; tblRisk[[#This Row],[HIT Quintile]],tblHITWDI[Lookup],tblHITWDI[Likelihood Description]))</f>
        <v>Foreseeable, not expected</v>
      </c>
      <c r="AB35" s="161">
        <f>IF(ISERROR(tblRisk[[#This Row],[Likelihood of Control Failure]]),"",VLOOKUP(tblRisk[[#This Row],[Likelihood of Control Failure]],tblLikelihood[],2,FALSE))</f>
        <v>2</v>
      </c>
      <c r="AC35" s="154">
        <v>2</v>
      </c>
      <c r="AD35" s="155">
        <v>2</v>
      </c>
      <c r="AE35" s="155">
        <v>2</v>
      </c>
      <c r="AF35" s="162">
        <f>IF(ISBLANK(tblRisk[[#This Row],[Impact to Mission]]),"",MAX(tblRisk[[#This Row],[Impact to Mission]:[Impact to Obligations]]))</f>
        <v>2</v>
      </c>
      <c r="AG35" s="163">
        <f>IF(ISERROR(tblRisk[[#This Row],[Impact Score]]*tblRisk[[#This Row],[Likelihood Score]]),"",tblRisk[[#This Row],[Likelihood Score]]*tblRisk[[#This Row],[Impact Score]])</f>
        <v>4</v>
      </c>
      <c r="AH35" s="163">
        <f>tblRisk[[#This Row],[Risk Score]]</f>
        <v>4</v>
      </c>
      <c r="AI35" s="164">
        <f t="shared" si="1"/>
        <v>9</v>
      </c>
      <c r="AJ35" s="164">
        <f>IF(tblRisk[[#This Row],[Safeguard Status]]="In Place",tblRisk[[#This Row],[Control Maturity after SG]],tblRisk[[#This Row],[Control Maturity]])</f>
        <v>4</v>
      </c>
      <c r="AK35" s="173" t="str">
        <f>IF(tblRisk[[#This Row],[Safeguard Status]]="In Place",tblRisk[[#This Row],[Safeguard Threat Cluster]],tblRisk[[#This Row],[Threat Cluster]])</f>
        <v>Hacking System</v>
      </c>
      <c r="AL35" s="164">
        <f>IF(tblRisk[[#This Row],[Safeguard Status]]="In Place",tblRisk[[#This Row],[Risk Level With Safeguard in Place]],tblRisk[[#This Row],[Risk Level]])</f>
        <v>4</v>
      </c>
      <c r="AM35" s="165" t="s">
        <v>1887</v>
      </c>
      <c r="AN35" s="165" t="str">
        <f>IF(tblRisk[[#This Row],[Risk Treatment Option]]="Manage",_xlfn.IFNA(INDEX(tblRiskTreatmentPrograms[#Data],MATCH(tblRisk[[#This Row],[Common Security Program]]&amp;tblRisk[[#This Row],[Common Security Control]],tblRiskTreatmentPrograms[Lookup],0),MATCH($AN$3,tblRiskTreatmentPrograms[#Headers],0)),txtBadRTP),"")</f>
        <v/>
      </c>
      <c r="AO35" s="165" t="str">
        <f>IF(tblRisk[[#This Row],[Risk Treatment Program]]="","",INDEX(tblRiskTreatmentPrograms[#Data],MATCH(tblRisk[[#This Row],[Risk Treatment Program]],tblRiskTreatmentPrograms[Risk Treatment Program],0),MATCH($AO$3,tblRiskTreatmentPrograms[#Headers],0)))</f>
        <v/>
      </c>
      <c r="AP35" s="165"/>
      <c r="AQ3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5" s="19" t="str">
        <f>tblRisk[[#This Row],[Threat Cluster]]</f>
        <v>Hacking System</v>
      </c>
      <c r="AS35" s="156">
        <f>IF(ISBLANK(tblRisk[[#This Row],[Safeguard Threat Cluster]]),"",_xlfn.XLOOKUP(tblRisk[[#This Row],[Safeguard Threat Cluster]],tblHIT[Threat Cluster],tblHIT[Quintile]))</f>
        <v>2</v>
      </c>
      <c r="AT35" s="157">
        <f>_xlfn.SWITCH(tblRisk[[#This Row],[Risk Treatment Option]],"Manage",tblRisk[[#This Row],[Control Maturity]]+1,tblRisk[[#This Row],[Control Maturity]])</f>
        <v>4</v>
      </c>
      <c r="AU3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5" s="166">
        <f>IF(ISERROR(tblRisk[[#This Row],[Likelihood of Control Failure after SG]]),"",VLOOKUP(tblRisk[[#This Row],[Likelihood of Control Failure after SG]],tblLikelihood[#Data],2,FALSE))</f>
        <v>2</v>
      </c>
      <c r="AW35" s="159">
        <f>tblRisk[[#This Row],[Impact to Mission]]</f>
        <v>2</v>
      </c>
      <c r="AX35" s="159">
        <f>tblRisk[[#This Row],[Impact to Objectives]]</f>
        <v>2</v>
      </c>
      <c r="AY35" s="159">
        <f>tblRisk[[#This Row],[Impact to Obligations]]</f>
        <v>2</v>
      </c>
      <c r="AZ35" s="166">
        <f>IF(ISBLANK(tblRisk[[#This Row],[Impact to Mission With Safeguard in Place]]),"",MAX(tblRisk[[#This Row],[Impact to Mission With Safeguard in Place]:[Impact to Obligations With Safeguard in Place]]))</f>
        <v>2</v>
      </c>
      <c r="BA35" s="167">
        <f>IF(ISERROR(tblRisk[[#This Row],[Impact Score with Safeguard in Place]]*tblRisk[[#This Row],[Likelihood Score with Safeguard in Place]]),"",tblRisk[[#This Row],[Impact Score with Safeguard in Place]]*tblRisk[[#This Row],[Likelihood Score with Safeguard in Place]])</f>
        <v>4</v>
      </c>
      <c r="BB35" s="164">
        <f>tblRisk[[#This Row],[Risk Score With Safeguard in Place]]</f>
        <v>4</v>
      </c>
      <c r="BC35" s="168" t="str">
        <f>IF(tblRisk[[#This Row],[Risk Treatment Option]]&lt;&gt;"Accept",IF(_xlfn.XLOOKUP(tblRisk[[#This Row],[Specific Safeguard Recommendation]],ProTrak[Task],ProTrak[Status],"Not Found")="Completed","Pending Validation","Pending"),"")</f>
        <v/>
      </c>
      <c r="BD35" s="169" t="str">
        <f>_xlfn.XLOOKUP(tblRisk[[#This Row],[Risk Treatment Program]],tblRiskTreatmentPrograms[Risk Treatment Program],tblRiskTreatmentPrograms[Estimated End Date (MM/DD/YYYY)],"")</f>
        <v/>
      </c>
      <c r="BE35" s="170"/>
      <c r="BF35" s="171" t="str">
        <f>_xlfn.IFNA(IF(tblRisk[[#This Row],[Due Date]]&lt;=vWhatIfQuarter,"Closed",""),"")</f>
        <v/>
      </c>
      <c r="BG35" s="171">
        <f>IF(tblRisk[[#This Row],[Scenario Builder Status]]="Closed",tblRisk[[#This Row],[Risk Score With Safeguard in Place]],tblRisk[[#This Row],[Risk Score]])</f>
        <v>4</v>
      </c>
      <c r="BH35" s="192" t="str">
        <f>tblRisk[[#This Row],[Common Security Program]]&amp;tblRisk[[#This Row],[Common Security Control]]&amp;tblRisk[[#This Row],[Asset Designation ]]</f>
        <v>System ManagementOperationNetwork</v>
      </c>
      <c r="BI35" s="191"/>
      <c r="BJ35" s="191"/>
      <c r="BK35" s="191"/>
      <c r="BL35" s="191"/>
      <c r="BM35" s="191"/>
      <c r="BN35" s="191" t="s">
        <v>117</v>
      </c>
      <c r="BO35" s="191"/>
      <c r="BP35" s="191"/>
      <c r="BQ35" s="191"/>
    </row>
    <row r="36" spans="1:69" ht="63" x14ac:dyDescent="0.65">
      <c r="A36" s="160">
        <v>33</v>
      </c>
      <c r="B36" s="160" t="s">
        <v>899</v>
      </c>
      <c r="C36" s="19" t="s">
        <v>925</v>
      </c>
      <c r="D36" s="28" t="s">
        <v>1155</v>
      </c>
      <c r="E36" s="207" t="s">
        <v>1092</v>
      </c>
      <c r="F36" s="194" t="s">
        <v>117</v>
      </c>
      <c r="G36" s="194" t="s">
        <v>117</v>
      </c>
      <c r="H36" s="194" t="s">
        <v>117</v>
      </c>
      <c r="I36" s="194" t="s">
        <v>1081</v>
      </c>
      <c r="J36" s="194" t="s">
        <v>1081</v>
      </c>
      <c r="K36" s="194" t="s">
        <v>1081</v>
      </c>
      <c r="L36" s="194" t="s">
        <v>1081</v>
      </c>
      <c r="M36" s="194" t="s">
        <v>1081</v>
      </c>
      <c r="N36" s="194">
        <f>COUNTIF(tblRisk[[#This Row],[Defends Against Malware]:[Defends Against Targeted Intrusions]],"Yes")</f>
        <v>5</v>
      </c>
      <c r="O36" s="160" t="s">
        <v>19</v>
      </c>
      <c r="P36" s="160" t="s">
        <v>88</v>
      </c>
      <c r="Q36" s="160" t="s">
        <v>30</v>
      </c>
      <c r="R36" s="160" t="s">
        <v>1086</v>
      </c>
      <c r="S36" s="160" t="s">
        <v>1087</v>
      </c>
      <c r="T36" s="160" t="s">
        <v>1421</v>
      </c>
      <c r="U36" s="160" t="s">
        <v>1420</v>
      </c>
      <c r="V36" s="160" t="s">
        <v>1582</v>
      </c>
      <c r="W36" s="160" t="s">
        <v>1709</v>
      </c>
      <c r="X36" s="160" t="s">
        <v>1745</v>
      </c>
      <c r="Y36" s="151">
        <f>IF(ISBLANK(tblRisk[[#This Row],[Threat Cluster]]),"",_xlfn.XLOOKUP(tblRisk[[#This Row],[Threat Cluster]],tblHIT[Threat Cluster],tblHIT[Quintile]))</f>
        <v>2</v>
      </c>
      <c r="Z36" s="152">
        <v>4</v>
      </c>
      <c r="AA36" s="153" t="str">
        <f>IF(OR(ISBLANK(tblRisk[[#This Row],[HIT Quintile]]),ISBLANK(tblRisk[[#This Row],[Control Maturity]])),"",_xlfn.XLOOKUP(tblRisk[[#This Row],[Control Maturity]] &amp; tblRisk[[#This Row],[HIT Quintile]],tblHITWDI[Lookup],tblHITWDI[Likelihood Description]))</f>
        <v>Foreseeable, not expected</v>
      </c>
      <c r="AB36" s="161">
        <f>IF(ISERROR(tblRisk[[#This Row],[Likelihood of Control Failure]]),"",VLOOKUP(tblRisk[[#This Row],[Likelihood of Control Failure]],tblLikelihood[],2,FALSE))</f>
        <v>2</v>
      </c>
      <c r="AC36" s="154">
        <v>2</v>
      </c>
      <c r="AD36" s="155">
        <v>2</v>
      </c>
      <c r="AE36" s="155">
        <v>2</v>
      </c>
      <c r="AF36" s="162">
        <f>IF(ISBLANK(tblRisk[[#This Row],[Impact to Mission]]),"",MAX(tblRisk[[#This Row],[Impact to Mission]:[Impact to Obligations]]))</f>
        <v>2</v>
      </c>
      <c r="AG36" s="163">
        <f>IF(ISERROR(tblRisk[[#This Row],[Impact Score]]*tblRisk[[#This Row],[Likelihood Score]]),"",tblRisk[[#This Row],[Likelihood Score]]*tblRisk[[#This Row],[Impact Score]])</f>
        <v>4</v>
      </c>
      <c r="AH36" s="163">
        <f>tblRisk[[#This Row],[Risk Score]]</f>
        <v>4</v>
      </c>
      <c r="AI36" s="164">
        <f t="shared" si="1"/>
        <v>9</v>
      </c>
      <c r="AJ36" s="164">
        <f>IF(tblRisk[[#This Row],[Safeguard Status]]="In Place",tblRisk[[#This Row],[Control Maturity after SG]],tblRisk[[#This Row],[Control Maturity]])</f>
        <v>4</v>
      </c>
      <c r="AK36" s="173" t="str">
        <f>IF(tblRisk[[#This Row],[Safeguard Status]]="In Place",tblRisk[[#This Row],[Safeguard Threat Cluster]],tblRisk[[#This Row],[Threat Cluster]])</f>
        <v>Hacking System</v>
      </c>
      <c r="AL36" s="164">
        <f>IF(tblRisk[[#This Row],[Safeguard Status]]="In Place",tblRisk[[#This Row],[Risk Level With Safeguard in Place]],tblRisk[[#This Row],[Risk Level]])</f>
        <v>4</v>
      </c>
      <c r="AM36" s="165" t="s">
        <v>1887</v>
      </c>
      <c r="AN36" s="165" t="str">
        <f>IF(tblRisk[[#This Row],[Risk Treatment Option]]="Manage",_xlfn.IFNA(INDEX(tblRiskTreatmentPrograms[#Data],MATCH(tblRisk[[#This Row],[Common Security Program]]&amp;tblRisk[[#This Row],[Common Security Control]],tblRiskTreatmentPrograms[Lookup],0),MATCH($AN$3,tblRiskTreatmentPrograms[#Headers],0)),txtBadRTP),"")</f>
        <v/>
      </c>
      <c r="AO36" s="165" t="str">
        <f>IF(tblRisk[[#This Row],[Risk Treatment Program]]="","",INDEX(tblRiskTreatmentPrograms[#Data],MATCH(tblRisk[[#This Row],[Risk Treatment Program]],tblRiskTreatmentPrograms[Risk Treatment Program],0),MATCH($AO$3,tblRiskTreatmentPrograms[#Headers],0)))</f>
        <v/>
      </c>
      <c r="AP36" s="165"/>
      <c r="AQ3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6" s="19" t="str">
        <f>tblRisk[[#This Row],[Threat Cluster]]</f>
        <v>Hacking System</v>
      </c>
      <c r="AS36" s="156">
        <f>IF(ISBLANK(tblRisk[[#This Row],[Safeguard Threat Cluster]]),"",_xlfn.XLOOKUP(tblRisk[[#This Row],[Safeguard Threat Cluster]],tblHIT[Threat Cluster],tblHIT[Quintile]))</f>
        <v>2</v>
      </c>
      <c r="AT36" s="157">
        <f>_xlfn.SWITCH(tblRisk[[#This Row],[Risk Treatment Option]],"Manage",tblRisk[[#This Row],[Control Maturity]]+1,tblRisk[[#This Row],[Control Maturity]])</f>
        <v>4</v>
      </c>
      <c r="AU3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6" s="166">
        <f>IF(ISERROR(tblRisk[[#This Row],[Likelihood of Control Failure after SG]]),"",VLOOKUP(tblRisk[[#This Row],[Likelihood of Control Failure after SG]],tblLikelihood[#Data],2,FALSE))</f>
        <v>2</v>
      </c>
      <c r="AW36" s="159">
        <f>tblRisk[[#This Row],[Impact to Mission]]</f>
        <v>2</v>
      </c>
      <c r="AX36" s="159">
        <f>tblRisk[[#This Row],[Impact to Objectives]]</f>
        <v>2</v>
      </c>
      <c r="AY36" s="159">
        <f>tblRisk[[#This Row],[Impact to Obligations]]</f>
        <v>2</v>
      </c>
      <c r="AZ36" s="166">
        <f>IF(ISBLANK(tblRisk[[#This Row],[Impact to Mission With Safeguard in Place]]),"",MAX(tblRisk[[#This Row],[Impact to Mission With Safeguard in Place]:[Impact to Obligations With Safeguard in Place]]))</f>
        <v>2</v>
      </c>
      <c r="BA36" s="167">
        <f>IF(ISERROR(tblRisk[[#This Row],[Impact Score with Safeguard in Place]]*tblRisk[[#This Row],[Likelihood Score with Safeguard in Place]]),"",tblRisk[[#This Row],[Impact Score with Safeguard in Place]]*tblRisk[[#This Row],[Likelihood Score with Safeguard in Place]])</f>
        <v>4</v>
      </c>
      <c r="BB36" s="164">
        <f>tblRisk[[#This Row],[Risk Score With Safeguard in Place]]</f>
        <v>4</v>
      </c>
      <c r="BC36" s="168" t="str">
        <f>IF(tblRisk[[#This Row],[Risk Treatment Option]]&lt;&gt;"Accept",IF(_xlfn.XLOOKUP(tblRisk[[#This Row],[Specific Safeguard Recommendation]],ProTrak[Task],ProTrak[Status],"Not Found")="Completed","Pending Validation","Pending"),"")</f>
        <v/>
      </c>
      <c r="BD36" s="169" t="str">
        <f>_xlfn.XLOOKUP(tblRisk[[#This Row],[Risk Treatment Program]],tblRiskTreatmentPrograms[Risk Treatment Program],tblRiskTreatmentPrograms[Estimated End Date (MM/DD/YYYY)],"")</f>
        <v/>
      </c>
      <c r="BE36" s="170"/>
      <c r="BF36" s="171" t="str">
        <f>_xlfn.IFNA(IF(tblRisk[[#This Row],[Due Date]]&lt;=vWhatIfQuarter,"Closed",""),"")</f>
        <v/>
      </c>
      <c r="BG36" s="171">
        <f>IF(tblRisk[[#This Row],[Scenario Builder Status]]="Closed",tblRisk[[#This Row],[Risk Score With Safeguard in Place]],tblRisk[[#This Row],[Risk Score]])</f>
        <v>4</v>
      </c>
      <c r="BH36" s="192" t="str">
        <f>tblRisk[[#This Row],[Common Security Program]]&amp;tblRisk[[#This Row],[Common Security Control]]&amp;tblRisk[[#This Row],[Asset Designation ]]</f>
        <v>Credential ManagementOperationUsers</v>
      </c>
      <c r="BI36" s="191"/>
      <c r="BJ36" s="191"/>
      <c r="BK36" s="191"/>
      <c r="BL36" s="191" t="s">
        <v>117</v>
      </c>
      <c r="BM36" s="191"/>
      <c r="BN36" s="191"/>
      <c r="BO36" s="191"/>
      <c r="BP36" s="191"/>
      <c r="BQ36" s="191"/>
    </row>
    <row r="37" spans="1:69" ht="78.75" x14ac:dyDescent="0.65">
      <c r="A37" s="160">
        <v>34</v>
      </c>
      <c r="B37" s="160" t="s">
        <v>899</v>
      </c>
      <c r="C37" s="19" t="s">
        <v>926</v>
      </c>
      <c r="D37" s="28" t="s">
        <v>1156</v>
      </c>
      <c r="E37" s="207" t="s">
        <v>1092</v>
      </c>
      <c r="F37" s="194"/>
      <c r="G37" s="194" t="s">
        <v>117</v>
      </c>
      <c r="H37" s="194" t="s">
        <v>117</v>
      </c>
      <c r="I37" s="194" t="s">
        <v>1081</v>
      </c>
      <c r="J37" s="194" t="s">
        <v>1081</v>
      </c>
      <c r="K37" s="194" t="s">
        <v>1081</v>
      </c>
      <c r="L37" s="194" t="s">
        <v>1081</v>
      </c>
      <c r="M37" s="194" t="s">
        <v>1081</v>
      </c>
      <c r="N37" s="194">
        <f>COUNTIF(tblRisk[[#This Row],[Defends Against Malware]:[Defends Against Targeted Intrusions]],"Yes")</f>
        <v>5</v>
      </c>
      <c r="O37" s="160" t="s">
        <v>653</v>
      </c>
      <c r="P37" s="160" t="s">
        <v>88</v>
      </c>
      <c r="Q37" s="160" t="s">
        <v>611</v>
      </c>
      <c r="R37" s="160" t="s">
        <v>1082</v>
      </c>
      <c r="S37" s="160" t="s">
        <v>1436</v>
      </c>
      <c r="T37" s="160" t="s">
        <v>1434</v>
      </c>
      <c r="U37" s="160" t="s">
        <v>1435</v>
      </c>
      <c r="V37" s="19" t="s">
        <v>1631</v>
      </c>
      <c r="W37" s="160" t="s">
        <v>1709</v>
      </c>
      <c r="X37" s="160" t="s">
        <v>1746</v>
      </c>
      <c r="Y37" s="151">
        <f>IF(ISBLANK(tblRisk[[#This Row],[Threat Cluster]]),"",_xlfn.XLOOKUP(tblRisk[[#This Row],[Threat Cluster]],tblHIT[Threat Cluster],tblHIT[Quintile]))</f>
        <v>3</v>
      </c>
      <c r="Z37" s="152">
        <v>4</v>
      </c>
      <c r="AA37" s="153" t="str">
        <f>IF(OR(ISBLANK(tblRisk[[#This Row],[HIT Quintile]]),ISBLANK(tblRisk[[#This Row],[Control Maturity]])),"",_xlfn.XLOOKUP(tblRisk[[#This Row],[Control Maturity]] &amp; tblRisk[[#This Row],[HIT Quintile]],tblHITWDI[Lookup],tblHITWDI[Likelihood Description]))</f>
        <v>Foreseeable, not expected</v>
      </c>
      <c r="AB37" s="161">
        <f>IF(ISERROR(tblRisk[[#This Row],[Likelihood of Control Failure]]),"",VLOOKUP(tblRisk[[#This Row],[Likelihood of Control Failure]],tblLikelihood[],2,FALSE))</f>
        <v>2</v>
      </c>
      <c r="AC37" s="154">
        <v>2</v>
      </c>
      <c r="AD37" s="155">
        <v>2</v>
      </c>
      <c r="AE37" s="155">
        <v>2</v>
      </c>
      <c r="AF37" s="162">
        <f>IF(ISBLANK(tblRisk[[#This Row],[Impact to Mission]]),"",MAX(tblRisk[[#This Row],[Impact to Mission]:[Impact to Obligations]]))</f>
        <v>2</v>
      </c>
      <c r="AG37" s="163">
        <f>IF(ISERROR(tblRisk[[#This Row],[Impact Score]]*tblRisk[[#This Row],[Likelihood Score]]),"",tblRisk[[#This Row],[Likelihood Score]]*tblRisk[[#This Row],[Impact Score]])</f>
        <v>4</v>
      </c>
      <c r="AH37" s="163">
        <f>tblRisk[[#This Row],[Risk Score]]</f>
        <v>4</v>
      </c>
      <c r="AI37" s="164">
        <f t="shared" si="1"/>
        <v>9</v>
      </c>
      <c r="AJ37" s="164">
        <f>IF(tblRisk[[#This Row],[Safeguard Status]]="In Place",tblRisk[[#This Row],[Control Maturity after SG]],tblRisk[[#This Row],[Control Maturity]])</f>
        <v>4</v>
      </c>
      <c r="AK37" s="173" t="str">
        <f>IF(tblRisk[[#This Row],[Safeguard Status]]="In Place",tblRisk[[#This Row],[Safeguard Threat Cluster]],tblRisk[[#This Row],[Threat Cluster]])</f>
        <v>Physical Facility</v>
      </c>
      <c r="AL37" s="164">
        <f>IF(tblRisk[[#This Row],[Safeguard Status]]="In Place",tblRisk[[#This Row],[Risk Level With Safeguard in Place]],tblRisk[[#This Row],[Risk Level]])</f>
        <v>4</v>
      </c>
      <c r="AM37" s="165" t="s">
        <v>1887</v>
      </c>
      <c r="AN37" s="165" t="str">
        <f>IF(tblRisk[[#This Row],[Risk Treatment Option]]="Manage",_xlfn.IFNA(INDEX(tblRiskTreatmentPrograms[#Data],MATCH(tblRisk[[#This Row],[Common Security Program]]&amp;tblRisk[[#This Row],[Common Security Control]],tblRiskTreatmentPrograms[Lookup],0),MATCH($AN$3,tblRiskTreatmentPrograms[#Headers],0)),txtBadRTP),"")</f>
        <v/>
      </c>
      <c r="AO37" s="165" t="str">
        <f>IF(tblRisk[[#This Row],[Risk Treatment Program]]="","",INDEX(tblRiskTreatmentPrograms[#Data],MATCH(tblRisk[[#This Row],[Risk Treatment Program]],tblRiskTreatmentPrograms[Risk Treatment Program],0),MATCH($AO$3,tblRiskTreatmentPrograms[#Headers],0)))</f>
        <v/>
      </c>
      <c r="AP37" s="165"/>
      <c r="AQ3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7" s="19" t="str">
        <f>tblRisk[[#This Row],[Threat Cluster]]</f>
        <v>Physical Facility</v>
      </c>
      <c r="AS37" s="156">
        <f>IF(ISBLANK(tblRisk[[#This Row],[Safeguard Threat Cluster]]),"",_xlfn.XLOOKUP(tblRisk[[#This Row],[Safeguard Threat Cluster]],tblHIT[Threat Cluster],tblHIT[Quintile]))</f>
        <v>3</v>
      </c>
      <c r="AT37" s="157">
        <f>_xlfn.SWITCH(tblRisk[[#This Row],[Risk Treatment Option]],"Manage",tblRisk[[#This Row],[Control Maturity]]+1,tblRisk[[#This Row],[Control Maturity]])</f>
        <v>4</v>
      </c>
      <c r="AU3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7" s="166">
        <f>IF(ISERROR(tblRisk[[#This Row],[Likelihood of Control Failure after SG]]),"",VLOOKUP(tblRisk[[#This Row],[Likelihood of Control Failure after SG]],tblLikelihood[#Data],2,FALSE))</f>
        <v>2</v>
      </c>
      <c r="AW37" s="159">
        <f>tblRisk[[#This Row],[Impact to Mission]]</f>
        <v>2</v>
      </c>
      <c r="AX37" s="159">
        <f>tblRisk[[#This Row],[Impact to Objectives]]</f>
        <v>2</v>
      </c>
      <c r="AY37" s="159">
        <f>tblRisk[[#This Row],[Impact to Obligations]]</f>
        <v>2</v>
      </c>
      <c r="AZ37" s="166">
        <f>IF(ISBLANK(tblRisk[[#This Row],[Impact to Mission With Safeguard in Place]]),"",MAX(tblRisk[[#This Row],[Impact to Mission With Safeguard in Place]:[Impact to Obligations With Safeguard in Place]]))</f>
        <v>2</v>
      </c>
      <c r="BA37" s="167">
        <f>IF(ISERROR(tblRisk[[#This Row],[Impact Score with Safeguard in Place]]*tblRisk[[#This Row],[Likelihood Score with Safeguard in Place]]),"",tblRisk[[#This Row],[Impact Score with Safeguard in Place]]*tblRisk[[#This Row],[Likelihood Score with Safeguard in Place]])</f>
        <v>4</v>
      </c>
      <c r="BB37" s="164">
        <f>tblRisk[[#This Row],[Risk Score With Safeguard in Place]]</f>
        <v>4</v>
      </c>
      <c r="BC37" s="168" t="str">
        <f>IF(tblRisk[[#This Row],[Risk Treatment Option]]&lt;&gt;"Accept",IF(_xlfn.XLOOKUP(tblRisk[[#This Row],[Specific Safeguard Recommendation]],ProTrak[Task],ProTrak[Status],"Not Found")="Completed","Pending Validation","Pending"),"")</f>
        <v/>
      </c>
      <c r="BD37" s="169" t="str">
        <f>_xlfn.XLOOKUP(tblRisk[[#This Row],[Risk Treatment Program]],tblRiskTreatmentPrograms[Risk Treatment Program],tblRiskTreatmentPrograms[Estimated End Date (MM/DD/YYYY)],"")</f>
        <v/>
      </c>
      <c r="BE37" s="170"/>
      <c r="BF37" s="171" t="str">
        <f>_xlfn.IFNA(IF(tblRisk[[#This Row],[Due Date]]&lt;=vWhatIfQuarter,"Closed",""),"")</f>
        <v/>
      </c>
      <c r="BG37" s="171">
        <f>IF(tblRisk[[#This Row],[Scenario Builder Status]]="Closed",tblRisk[[#This Row],[Risk Score With Safeguard in Place]],tblRisk[[#This Row],[Risk Score]])</f>
        <v>4</v>
      </c>
      <c r="BH37" s="192" t="str">
        <f>tblRisk[[#This Row],[Common Security Program]]&amp;tblRisk[[#This Row],[Common Security Control]]&amp;tblRisk[[#This Row],[Asset Designation ]]</f>
        <v>System ManagementOperationDevices</v>
      </c>
      <c r="BI37" s="191"/>
      <c r="BJ37" s="191"/>
      <c r="BK37" s="191"/>
      <c r="BL37" s="191"/>
      <c r="BM37" s="191"/>
      <c r="BN37" s="191" t="s">
        <v>117</v>
      </c>
      <c r="BO37" s="191"/>
      <c r="BP37" s="191"/>
      <c r="BQ37" s="191"/>
    </row>
    <row r="38" spans="1:69" ht="78.75" x14ac:dyDescent="0.65">
      <c r="A38" s="160">
        <v>35</v>
      </c>
      <c r="B38" s="160" t="s">
        <v>899</v>
      </c>
      <c r="C38" s="19" t="s">
        <v>927</v>
      </c>
      <c r="D38" s="28" t="s">
        <v>1157</v>
      </c>
      <c r="E38" s="207" t="s">
        <v>1092</v>
      </c>
      <c r="F38" s="194"/>
      <c r="G38" s="194" t="s">
        <v>117</v>
      </c>
      <c r="H38" s="194" t="s">
        <v>117</v>
      </c>
      <c r="I38" s="194" t="s">
        <v>1080</v>
      </c>
      <c r="J38" s="194" t="s">
        <v>1081</v>
      </c>
      <c r="K38" s="194" t="s">
        <v>1080</v>
      </c>
      <c r="L38" s="194" t="s">
        <v>1080</v>
      </c>
      <c r="M38" s="194" t="s">
        <v>1081</v>
      </c>
      <c r="N38" s="194">
        <f>COUNTIF(tblRisk[[#This Row],[Defends Against Malware]:[Defends Against Targeted Intrusions]],"Yes")</f>
        <v>2</v>
      </c>
      <c r="O38" s="160" t="s">
        <v>653</v>
      </c>
      <c r="P38" s="160" t="s">
        <v>88</v>
      </c>
      <c r="Q38" s="160" t="s">
        <v>611</v>
      </c>
      <c r="R38" s="160" t="s">
        <v>1082</v>
      </c>
      <c r="S38" s="160" t="s">
        <v>1436</v>
      </c>
      <c r="T38" s="160" t="s">
        <v>1434</v>
      </c>
      <c r="U38" s="160" t="s">
        <v>1435</v>
      </c>
      <c r="V38" s="160" t="s">
        <v>1583</v>
      </c>
      <c r="W38" s="160" t="s">
        <v>1709</v>
      </c>
      <c r="X38" s="160" t="s">
        <v>1747</v>
      </c>
      <c r="Y38" s="151">
        <f>IF(ISBLANK(tblRisk[[#This Row],[Threat Cluster]]),"",_xlfn.XLOOKUP(tblRisk[[#This Row],[Threat Cluster]],tblHIT[Threat Cluster],tblHIT[Quintile]))</f>
        <v>3</v>
      </c>
      <c r="Z38" s="152">
        <v>4</v>
      </c>
      <c r="AA38" s="153" t="str">
        <f>IF(OR(ISBLANK(tblRisk[[#This Row],[HIT Quintile]]),ISBLANK(tblRisk[[#This Row],[Control Maturity]])),"",_xlfn.XLOOKUP(tblRisk[[#This Row],[Control Maturity]] &amp; tblRisk[[#This Row],[HIT Quintile]],tblHITWDI[Lookup],tblHITWDI[Likelihood Description]))</f>
        <v>Foreseeable, not expected</v>
      </c>
      <c r="AB38" s="161">
        <f>IF(ISERROR(tblRisk[[#This Row],[Likelihood of Control Failure]]),"",VLOOKUP(tblRisk[[#This Row],[Likelihood of Control Failure]],tblLikelihood[],2,FALSE))</f>
        <v>2</v>
      </c>
      <c r="AC38" s="154">
        <v>2</v>
      </c>
      <c r="AD38" s="155">
        <v>2</v>
      </c>
      <c r="AE38" s="155">
        <v>2</v>
      </c>
      <c r="AF38" s="162">
        <f>IF(ISBLANK(tblRisk[[#This Row],[Impact to Mission]]),"",MAX(tblRisk[[#This Row],[Impact to Mission]:[Impact to Obligations]]))</f>
        <v>2</v>
      </c>
      <c r="AG38" s="163">
        <f>IF(ISERROR(tblRisk[[#This Row],[Impact Score]]*tblRisk[[#This Row],[Likelihood Score]]),"",tblRisk[[#This Row],[Likelihood Score]]*tblRisk[[#This Row],[Impact Score]])</f>
        <v>4</v>
      </c>
      <c r="AH38" s="163">
        <f>tblRisk[[#This Row],[Risk Score]]</f>
        <v>4</v>
      </c>
      <c r="AI38" s="164">
        <f t="shared" si="1"/>
        <v>9</v>
      </c>
      <c r="AJ38" s="164">
        <f>IF(tblRisk[[#This Row],[Safeguard Status]]="In Place",tblRisk[[#This Row],[Control Maturity after SG]],tblRisk[[#This Row],[Control Maturity]])</f>
        <v>4</v>
      </c>
      <c r="AK38" s="173" t="str">
        <f>IF(tblRisk[[#This Row],[Safeguard Status]]="In Place",tblRisk[[#This Row],[Safeguard Threat Cluster]],tblRisk[[#This Row],[Threat Cluster]])</f>
        <v>Physical Facility</v>
      </c>
      <c r="AL38" s="164">
        <f>IF(tblRisk[[#This Row],[Safeguard Status]]="In Place",tblRisk[[#This Row],[Risk Level With Safeguard in Place]],tblRisk[[#This Row],[Risk Level]])</f>
        <v>4</v>
      </c>
      <c r="AM38" s="165" t="s">
        <v>1887</v>
      </c>
      <c r="AN38" s="165" t="str">
        <f>IF(tblRisk[[#This Row],[Risk Treatment Option]]="Manage",_xlfn.IFNA(INDEX(tblRiskTreatmentPrograms[#Data],MATCH(tblRisk[[#This Row],[Common Security Program]]&amp;tblRisk[[#This Row],[Common Security Control]],tblRiskTreatmentPrograms[Lookup],0),MATCH($AN$3,tblRiskTreatmentPrograms[#Headers],0)),txtBadRTP),"")</f>
        <v/>
      </c>
      <c r="AO38" s="165" t="str">
        <f>IF(tblRisk[[#This Row],[Risk Treatment Program]]="","",INDEX(tblRiskTreatmentPrograms[#Data],MATCH(tblRisk[[#This Row],[Risk Treatment Program]],tblRiskTreatmentPrograms[Risk Treatment Program],0),MATCH($AO$3,tblRiskTreatmentPrograms[#Headers],0)))</f>
        <v/>
      </c>
      <c r="AP38" s="165"/>
      <c r="AQ3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8" s="19" t="str">
        <f>tblRisk[[#This Row],[Threat Cluster]]</f>
        <v>Physical Facility</v>
      </c>
      <c r="AS38" s="156">
        <f>IF(ISBLANK(tblRisk[[#This Row],[Safeguard Threat Cluster]]),"",_xlfn.XLOOKUP(tblRisk[[#This Row],[Safeguard Threat Cluster]],tblHIT[Threat Cluster],tblHIT[Quintile]))</f>
        <v>3</v>
      </c>
      <c r="AT38" s="157">
        <f>_xlfn.SWITCH(tblRisk[[#This Row],[Risk Treatment Option]],"Manage",tblRisk[[#This Row],[Control Maturity]]+1,tblRisk[[#This Row],[Control Maturity]])</f>
        <v>4</v>
      </c>
      <c r="AU3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8" s="166">
        <f>IF(ISERROR(tblRisk[[#This Row],[Likelihood of Control Failure after SG]]),"",VLOOKUP(tblRisk[[#This Row],[Likelihood of Control Failure after SG]],tblLikelihood[#Data],2,FALSE))</f>
        <v>2</v>
      </c>
      <c r="AW38" s="159">
        <f>tblRisk[[#This Row],[Impact to Mission]]</f>
        <v>2</v>
      </c>
      <c r="AX38" s="159">
        <f>tblRisk[[#This Row],[Impact to Objectives]]</f>
        <v>2</v>
      </c>
      <c r="AY38" s="159">
        <f>tblRisk[[#This Row],[Impact to Obligations]]</f>
        <v>2</v>
      </c>
      <c r="AZ38" s="166">
        <f>IF(ISBLANK(tblRisk[[#This Row],[Impact to Mission With Safeguard in Place]]),"",MAX(tblRisk[[#This Row],[Impact to Mission With Safeguard in Place]:[Impact to Obligations With Safeguard in Place]]))</f>
        <v>2</v>
      </c>
      <c r="BA38" s="167">
        <f>IF(ISERROR(tblRisk[[#This Row],[Impact Score with Safeguard in Place]]*tblRisk[[#This Row],[Likelihood Score with Safeguard in Place]]),"",tblRisk[[#This Row],[Impact Score with Safeguard in Place]]*tblRisk[[#This Row],[Likelihood Score with Safeguard in Place]])</f>
        <v>4</v>
      </c>
      <c r="BB38" s="164">
        <f>tblRisk[[#This Row],[Risk Score With Safeguard in Place]]</f>
        <v>4</v>
      </c>
      <c r="BC38" s="168" t="str">
        <f>IF(tblRisk[[#This Row],[Risk Treatment Option]]&lt;&gt;"Accept",IF(_xlfn.XLOOKUP(tblRisk[[#This Row],[Specific Safeguard Recommendation]],ProTrak[Task],ProTrak[Status],"Not Found")="Completed","Pending Validation","Pending"),"")</f>
        <v/>
      </c>
      <c r="BD38" s="169" t="str">
        <f>_xlfn.XLOOKUP(tblRisk[[#This Row],[Risk Treatment Program]],tblRiskTreatmentPrograms[Risk Treatment Program],tblRiskTreatmentPrograms[Estimated End Date (MM/DD/YYYY)],"")</f>
        <v/>
      </c>
      <c r="BE38" s="170"/>
      <c r="BF38" s="171" t="str">
        <f>_xlfn.IFNA(IF(tblRisk[[#This Row],[Due Date]]&lt;=vWhatIfQuarter,"Closed",""),"")</f>
        <v/>
      </c>
      <c r="BG38" s="171">
        <f>IF(tblRisk[[#This Row],[Scenario Builder Status]]="Closed",tblRisk[[#This Row],[Risk Score With Safeguard in Place]],tblRisk[[#This Row],[Risk Score]])</f>
        <v>4</v>
      </c>
      <c r="BH38" s="192" t="str">
        <f>tblRisk[[#This Row],[Common Security Program]]&amp;tblRisk[[#This Row],[Common Security Control]]&amp;tblRisk[[#This Row],[Asset Designation ]]</f>
        <v>System ManagementOperationDevices</v>
      </c>
      <c r="BI38" s="191" t="s">
        <v>117</v>
      </c>
      <c r="BJ38" s="191"/>
      <c r="BK38" s="191"/>
      <c r="BL38" s="191"/>
      <c r="BM38" s="191"/>
      <c r="BN38" s="191" t="s">
        <v>117</v>
      </c>
      <c r="BO38" s="191"/>
      <c r="BP38" s="191"/>
      <c r="BQ38" s="191"/>
    </row>
    <row r="39" spans="1:69" ht="126" x14ac:dyDescent="0.65">
      <c r="A39" s="160">
        <v>36</v>
      </c>
      <c r="B39" s="160" t="s">
        <v>899</v>
      </c>
      <c r="C39" s="19" t="s">
        <v>928</v>
      </c>
      <c r="D39" s="28" t="s">
        <v>1907</v>
      </c>
      <c r="E39" s="207" t="s">
        <v>1092</v>
      </c>
      <c r="F39" s="194"/>
      <c r="G39" s="194" t="s">
        <v>117</v>
      </c>
      <c r="H39" s="194" t="s">
        <v>117</v>
      </c>
      <c r="I39" s="194" t="s">
        <v>1081</v>
      </c>
      <c r="J39" s="194" t="s">
        <v>1081</v>
      </c>
      <c r="K39" s="194" t="s">
        <v>1081</v>
      </c>
      <c r="L39" s="194" t="s">
        <v>1081</v>
      </c>
      <c r="M39" s="194" t="s">
        <v>1081</v>
      </c>
      <c r="N39" s="194">
        <f>COUNTIF(tblRisk[[#This Row],[Defends Against Malware]:[Defends Against Targeted Intrusions]],"Yes")</f>
        <v>5</v>
      </c>
      <c r="O39" s="160" t="s">
        <v>18</v>
      </c>
      <c r="P39" s="160" t="s">
        <v>88</v>
      </c>
      <c r="Q39" s="160" t="s">
        <v>30</v>
      </c>
      <c r="R39" s="160" t="s">
        <v>1082</v>
      </c>
      <c r="S39" s="160" t="s">
        <v>1418</v>
      </c>
      <c r="T39" s="160" t="s">
        <v>1416</v>
      </c>
      <c r="U39" s="160" t="s">
        <v>1417</v>
      </c>
      <c r="V39" s="160" t="s">
        <v>1584</v>
      </c>
      <c r="W39" s="160" t="s">
        <v>1709</v>
      </c>
      <c r="X39" s="160" t="s">
        <v>1748</v>
      </c>
      <c r="Y39" s="151">
        <f>IF(ISBLANK(tblRisk[[#This Row],[Threat Cluster]]),"",_xlfn.XLOOKUP(tblRisk[[#This Row],[Threat Cluster]],tblHIT[Threat Cluster],tblHIT[Quintile]))</f>
        <v>2</v>
      </c>
      <c r="Z39" s="152">
        <v>4</v>
      </c>
      <c r="AA39" s="153" t="str">
        <f>IF(OR(ISBLANK(tblRisk[[#This Row],[HIT Quintile]]),ISBLANK(tblRisk[[#This Row],[Control Maturity]])),"",_xlfn.XLOOKUP(tblRisk[[#This Row],[Control Maturity]] &amp; tblRisk[[#This Row],[HIT Quintile]],tblHITWDI[Lookup],tblHITWDI[Likelihood Description]))</f>
        <v>Foreseeable, not expected</v>
      </c>
      <c r="AB39" s="161">
        <f>IF(ISERROR(tblRisk[[#This Row],[Likelihood of Control Failure]]),"",VLOOKUP(tblRisk[[#This Row],[Likelihood of Control Failure]],tblLikelihood[],2,FALSE))</f>
        <v>2</v>
      </c>
      <c r="AC39" s="154">
        <v>2</v>
      </c>
      <c r="AD39" s="155">
        <v>2</v>
      </c>
      <c r="AE39" s="155">
        <v>2</v>
      </c>
      <c r="AF39" s="162">
        <f>IF(ISBLANK(tblRisk[[#This Row],[Impact to Mission]]),"",MAX(tblRisk[[#This Row],[Impact to Mission]:[Impact to Obligations]]))</f>
        <v>2</v>
      </c>
      <c r="AG39" s="163">
        <f>IF(ISERROR(tblRisk[[#This Row],[Impact Score]]*tblRisk[[#This Row],[Likelihood Score]]),"",tblRisk[[#This Row],[Likelihood Score]]*tblRisk[[#This Row],[Impact Score]])</f>
        <v>4</v>
      </c>
      <c r="AH39" s="163">
        <f>tblRisk[[#This Row],[Risk Score]]</f>
        <v>4</v>
      </c>
      <c r="AI39" s="164">
        <f t="shared" si="1"/>
        <v>9</v>
      </c>
      <c r="AJ39" s="164">
        <f>IF(tblRisk[[#This Row],[Safeguard Status]]="In Place",tblRisk[[#This Row],[Control Maturity after SG]],tblRisk[[#This Row],[Control Maturity]])</f>
        <v>4</v>
      </c>
      <c r="AK39" s="173" t="str">
        <f>IF(tblRisk[[#This Row],[Safeguard Status]]="In Place",tblRisk[[#This Row],[Safeguard Threat Cluster]],tblRisk[[#This Row],[Threat Cluster]])</f>
        <v>Hacking System</v>
      </c>
      <c r="AL39" s="164">
        <f>IF(tblRisk[[#This Row],[Safeguard Status]]="In Place",tblRisk[[#This Row],[Risk Level With Safeguard in Place]],tblRisk[[#This Row],[Risk Level]])</f>
        <v>4</v>
      </c>
      <c r="AM39" s="165" t="s">
        <v>1887</v>
      </c>
      <c r="AN39" s="165" t="str">
        <f>IF(tblRisk[[#This Row],[Risk Treatment Option]]="Manage",_xlfn.IFNA(INDEX(tblRiskTreatmentPrograms[#Data],MATCH(tblRisk[[#This Row],[Common Security Program]]&amp;tblRisk[[#This Row],[Common Security Control]],tblRiskTreatmentPrograms[Lookup],0),MATCH($AN$3,tblRiskTreatmentPrograms[#Headers],0)),txtBadRTP),"")</f>
        <v/>
      </c>
      <c r="AO39" s="165" t="str">
        <f>IF(tblRisk[[#This Row],[Risk Treatment Program]]="","",INDEX(tblRiskTreatmentPrograms[#Data],MATCH(tblRisk[[#This Row],[Risk Treatment Program]],tblRiskTreatmentPrograms[Risk Treatment Program],0),MATCH($AO$3,tblRiskTreatmentPrograms[#Headers],0)))</f>
        <v/>
      </c>
      <c r="AP39" s="165"/>
      <c r="AQ3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39" s="19" t="str">
        <f>tblRisk[[#This Row],[Threat Cluster]]</f>
        <v>Hacking System</v>
      </c>
      <c r="AS39" s="156">
        <f>IF(ISBLANK(tblRisk[[#This Row],[Safeguard Threat Cluster]]),"",_xlfn.XLOOKUP(tblRisk[[#This Row],[Safeguard Threat Cluster]],tblHIT[Threat Cluster],tblHIT[Quintile]))</f>
        <v>2</v>
      </c>
      <c r="AT39" s="157">
        <f>_xlfn.SWITCH(tblRisk[[#This Row],[Risk Treatment Option]],"Manage",tblRisk[[#This Row],[Control Maturity]]+1,tblRisk[[#This Row],[Control Maturity]])</f>
        <v>4</v>
      </c>
      <c r="AU3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39" s="166">
        <f>IF(ISERROR(tblRisk[[#This Row],[Likelihood of Control Failure after SG]]),"",VLOOKUP(tblRisk[[#This Row],[Likelihood of Control Failure after SG]],tblLikelihood[#Data],2,FALSE))</f>
        <v>2</v>
      </c>
      <c r="AW39" s="159">
        <f>tblRisk[[#This Row],[Impact to Mission]]</f>
        <v>2</v>
      </c>
      <c r="AX39" s="159">
        <f>tblRisk[[#This Row],[Impact to Objectives]]</f>
        <v>2</v>
      </c>
      <c r="AY39" s="159">
        <f>tblRisk[[#This Row],[Impact to Obligations]]</f>
        <v>2</v>
      </c>
      <c r="AZ39" s="166">
        <f>IF(ISBLANK(tblRisk[[#This Row],[Impact to Mission With Safeguard in Place]]),"",MAX(tblRisk[[#This Row],[Impact to Mission With Safeguard in Place]:[Impact to Obligations With Safeguard in Place]]))</f>
        <v>2</v>
      </c>
      <c r="BA39" s="167">
        <f>IF(ISERROR(tblRisk[[#This Row],[Impact Score with Safeguard in Place]]*tblRisk[[#This Row],[Likelihood Score with Safeguard in Place]]),"",tblRisk[[#This Row],[Impact Score with Safeguard in Place]]*tblRisk[[#This Row],[Likelihood Score with Safeguard in Place]])</f>
        <v>4</v>
      </c>
      <c r="BB39" s="164">
        <f>tblRisk[[#This Row],[Risk Score With Safeguard in Place]]</f>
        <v>4</v>
      </c>
      <c r="BC39" s="168" t="str">
        <f>IF(tblRisk[[#This Row],[Risk Treatment Option]]&lt;&gt;"Accept",IF(_xlfn.XLOOKUP(tblRisk[[#This Row],[Specific Safeguard Recommendation]],ProTrak[Task],ProTrak[Status],"Not Found")="Completed","Pending Validation","Pending"),"")</f>
        <v/>
      </c>
      <c r="BD39" s="169" t="str">
        <f>_xlfn.XLOOKUP(tblRisk[[#This Row],[Risk Treatment Program]],tblRiskTreatmentPrograms[Risk Treatment Program],tblRiskTreatmentPrograms[Estimated End Date (MM/DD/YYYY)],"")</f>
        <v/>
      </c>
      <c r="BE39" s="170"/>
      <c r="BF39" s="171" t="str">
        <f>_xlfn.IFNA(IF(tblRisk[[#This Row],[Due Date]]&lt;=vWhatIfQuarter,"Closed",""),"")</f>
        <v/>
      </c>
      <c r="BG39" s="171">
        <f>IF(tblRisk[[#This Row],[Scenario Builder Status]]="Closed",tblRisk[[#This Row],[Risk Score With Safeguard in Place]],tblRisk[[#This Row],[Risk Score]])</f>
        <v>4</v>
      </c>
      <c r="BH39" s="192" t="str">
        <f>tblRisk[[#This Row],[Common Security Program]]&amp;tblRisk[[#This Row],[Common Security Control]]&amp;tblRisk[[#This Row],[Asset Designation ]]</f>
        <v>Access ControlOperationDevices</v>
      </c>
      <c r="BI39" s="191"/>
      <c r="BJ39" s="191"/>
      <c r="BK39" s="191"/>
      <c r="BL39" s="191"/>
      <c r="BM39" s="191"/>
      <c r="BN39" s="191" t="s">
        <v>117</v>
      </c>
      <c r="BO39" s="191"/>
      <c r="BP39" s="191"/>
      <c r="BQ39" s="191"/>
    </row>
    <row r="40" spans="1:69" ht="110.25" x14ac:dyDescent="0.65">
      <c r="A40" s="160">
        <v>37</v>
      </c>
      <c r="B40" s="160" t="s">
        <v>899</v>
      </c>
      <c r="C40" s="19" t="s">
        <v>929</v>
      </c>
      <c r="D40" s="28" t="s">
        <v>1158</v>
      </c>
      <c r="E40" s="207" t="s">
        <v>1092</v>
      </c>
      <c r="F40" s="194"/>
      <c r="G40" s="194" t="s">
        <v>117</v>
      </c>
      <c r="H40" s="194" t="s">
        <v>117</v>
      </c>
      <c r="I40" s="194" t="s">
        <v>1080</v>
      </c>
      <c r="J40" s="194" t="s">
        <v>1080</v>
      </c>
      <c r="K40" s="194" t="s">
        <v>1080</v>
      </c>
      <c r="L40" s="194" t="s">
        <v>1080</v>
      </c>
      <c r="M40" s="194" t="s">
        <v>1080</v>
      </c>
      <c r="N40" s="194">
        <f>COUNTIF(tblRisk[[#This Row],[Defends Against Malware]:[Defends Against Targeted Intrusions]],"Yes")</f>
        <v>0</v>
      </c>
      <c r="O40" s="160" t="s">
        <v>28</v>
      </c>
      <c r="P40" s="160" t="s">
        <v>88</v>
      </c>
      <c r="Q40" s="160" t="s">
        <v>30</v>
      </c>
      <c r="R40" s="160" t="s">
        <v>1082</v>
      </c>
      <c r="S40" s="160" t="s">
        <v>1455</v>
      </c>
      <c r="T40" s="160" t="s">
        <v>1454</v>
      </c>
      <c r="U40" s="160" t="s">
        <v>1453</v>
      </c>
      <c r="V40" s="160" t="s">
        <v>1585</v>
      </c>
      <c r="W40" s="160" t="s">
        <v>1709</v>
      </c>
      <c r="X40" s="160" t="s">
        <v>1749</v>
      </c>
      <c r="Y40" s="151">
        <f>IF(ISBLANK(tblRisk[[#This Row],[Threat Cluster]]),"",_xlfn.XLOOKUP(tblRisk[[#This Row],[Threat Cluster]],tblHIT[Threat Cluster],tblHIT[Quintile]))</f>
        <v>2</v>
      </c>
      <c r="Z40" s="152">
        <v>4</v>
      </c>
      <c r="AA40" s="153" t="str">
        <f>IF(OR(ISBLANK(tblRisk[[#This Row],[HIT Quintile]]),ISBLANK(tblRisk[[#This Row],[Control Maturity]])),"",_xlfn.XLOOKUP(tblRisk[[#This Row],[Control Maturity]] &amp; tblRisk[[#This Row],[HIT Quintile]],tblHITWDI[Lookup],tblHITWDI[Likelihood Description]))</f>
        <v>Foreseeable, not expected</v>
      </c>
      <c r="AB40" s="161">
        <f>IF(ISERROR(tblRisk[[#This Row],[Likelihood of Control Failure]]),"",VLOOKUP(tblRisk[[#This Row],[Likelihood of Control Failure]],tblLikelihood[],2,FALSE))</f>
        <v>2</v>
      </c>
      <c r="AC40" s="154">
        <v>2</v>
      </c>
      <c r="AD40" s="155">
        <v>2</v>
      </c>
      <c r="AE40" s="155">
        <v>2</v>
      </c>
      <c r="AF40" s="162">
        <f>IF(ISBLANK(tblRisk[[#This Row],[Impact to Mission]]),"",MAX(tblRisk[[#This Row],[Impact to Mission]:[Impact to Obligations]]))</f>
        <v>2</v>
      </c>
      <c r="AG40" s="163">
        <f>IF(ISERROR(tblRisk[[#This Row],[Impact Score]]*tblRisk[[#This Row],[Likelihood Score]]),"",tblRisk[[#This Row],[Likelihood Score]]*tblRisk[[#This Row],[Impact Score]])</f>
        <v>4</v>
      </c>
      <c r="AH40" s="163">
        <f>tblRisk[[#This Row],[Risk Score]]</f>
        <v>4</v>
      </c>
      <c r="AI40" s="164">
        <f t="shared" si="1"/>
        <v>9</v>
      </c>
      <c r="AJ40" s="164">
        <f>IF(tblRisk[[#This Row],[Safeguard Status]]="In Place",tblRisk[[#This Row],[Control Maturity after SG]],tblRisk[[#This Row],[Control Maturity]])</f>
        <v>4</v>
      </c>
      <c r="AK40" s="173" t="str">
        <f>IF(tblRisk[[#This Row],[Safeguard Status]]="In Place",tblRisk[[#This Row],[Safeguard Threat Cluster]],tblRisk[[#This Row],[Threat Cluster]])</f>
        <v>Hacking System</v>
      </c>
      <c r="AL40" s="164">
        <f>IF(tblRisk[[#This Row],[Safeguard Status]]="In Place",tblRisk[[#This Row],[Risk Level With Safeguard in Place]],tblRisk[[#This Row],[Risk Level]])</f>
        <v>4</v>
      </c>
      <c r="AM40" s="165" t="s">
        <v>1887</v>
      </c>
      <c r="AN40" s="165" t="str">
        <f>IF(tblRisk[[#This Row],[Risk Treatment Option]]="Manage",_xlfn.IFNA(INDEX(tblRiskTreatmentPrograms[#Data],MATCH(tblRisk[[#This Row],[Common Security Program]]&amp;tblRisk[[#This Row],[Common Security Control]],tblRiskTreatmentPrograms[Lookup],0),MATCH($AN$3,tblRiskTreatmentPrograms[#Headers],0)),txtBadRTP),"")</f>
        <v/>
      </c>
      <c r="AO40" s="165" t="str">
        <f>IF(tblRisk[[#This Row],[Risk Treatment Program]]="","",INDEX(tblRiskTreatmentPrograms[#Data],MATCH(tblRisk[[#This Row],[Risk Treatment Program]],tblRiskTreatmentPrograms[Risk Treatment Program],0),MATCH($AO$3,tblRiskTreatmentPrograms[#Headers],0)))</f>
        <v/>
      </c>
      <c r="AP40" s="165"/>
      <c r="AQ4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0" s="19" t="str">
        <f>tblRisk[[#This Row],[Threat Cluster]]</f>
        <v>Hacking System</v>
      </c>
      <c r="AS40" s="156">
        <f>IF(ISBLANK(tblRisk[[#This Row],[Safeguard Threat Cluster]]),"",_xlfn.XLOOKUP(tblRisk[[#This Row],[Safeguard Threat Cluster]],tblHIT[Threat Cluster],tblHIT[Quintile]))</f>
        <v>2</v>
      </c>
      <c r="AT40" s="157">
        <f>_xlfn.SWITCH(tblRisk[[#This Row],[Risk Treatment Option]],"Manage",tblRisk[[#This Row],[Control Maturity]]+1,tblRisk[[#This Row],[Control Maturity]])</f>
        <v>4</v>
      </c>
      <c r="AU4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0" s="166">
        <f>IF(ISERROR(tblRisk[[#This Row],[Likelihood of Control Failure after SG]]),"",VLOOKUP(tblRisk[[#This Row],[Likelihood of Control Failure after SG]],tblLikelihood[#Data],2,FALSE))</f>
        <v>2</v>
      </c>
      <c r="AW40" s="159">
        <f>tblRisk[[#This Row],[Impact to Mission]]</f>
        <v>2</v>
      </c>
      <c r="AX40" s="159">
        <f>tblRisk[[#This Row],[Impact to Objectives]]</f>
        <v>2</v>
      </c>
      <c r="AY40" s="159">
        <f>tblRisk[[#This Row],[Impact to Obligations]]</f>
        <v>2</v>
      </c>
      <c r="AZ40" s="166">
        <f>IF(ISBLANK(tblRisk[[#This Row],[Impact to Mission With Safeguard in Place]]),"",MAX(tblRisk[[#This Row],[Impact to Mission With Safeguard in Place]:[Impact to Obligations With Safeguard in Place]]))</f>
        <v>2</v>
      </c>
      <c r="BA40" s="167">
        <f>IF(ISERROR(tblRisk[[#This Row],[Impact Score with Safeguard in Place]]*tblRisk[[#This Row],[Likelihood Score with Safeguard in Place]]),"",tblRisk[[#This Row],[Impact Score with Safeguard in Place]]*tblRisk[[#This Row],[Likelihood Score with Safeguard in Place]])</f>
        <v>4</v>
      </c>
      <c r="BB40" s="164">
        <f>tblRisk[[#This Row],[Risk Score With Safeguard in Place]]</f>
        <v>4</v>
      </c>
      <c r="BC40" s="168" t="str">
        <f>IF(tblRisk[[#This Row],[Risk Treatment Option]]&lt;&gt;"Accept",IF(_xlfn.XLOOKUP(tblRisk[[#This Row],[Specific Safeguard Recommendation]],ProTrak[Task],ProTrak[Status],"Not Found")="Completed","Pending Validation","Pending"),"")</f>
        <v/>
      </c>
      <c r="BD40" s="169" t="str">
        <f>_xlfn.XLOOKUP(tblRisk[[#This Row],[Risk Treatment Program]],tblRiskTreatmentPrograms[Risk Treatment Program],tblRiskTreatmentPrograms[Estimated End Date (MM/DD/YYYY)],"")</f>
        <v/>
      </c>
      <c r="BE40" s="170"/>
      <c r="BF40" s="171" t="str">
        <f>_xlfn.IFNA(IF(tblRisk[[#This Row],[Due Date]]&lt;=vWhatIfQuarter,"Closed",""),"")</f>
        <v/>
      </c>
      <c r="BG40" s="171">
        <f>IF(tblRisk[[#This Row],[Scenario Builder Status]]="Closed",tblRisk[[#This Row],[Risk Score With Safeguard in Place]],tblRisk[[#This Row],[Risk Score]])</f>
        <v>4</v>
      </c>
      <c r="BH40" s="192" t="str">
        <f>tblRisk[[#This Row],[Common Security Program]]&amp;tblRisk[[#This Row],[Common Security Control]]&amp;tblRisk[[#This Row],[Asset Designation ]]</f>
        <v>Media SecurityOperationDevices</v>
      </c>
      <c r="BI40" s="191"/>
      <c r="BJ40" s="191"/>
      <c r="BK40" s="191"/>
      <c r="BL40" s="191"/>
      <c r="BM40" s="191"/>
      <c r="BN40" s="191"/>
      <c r="BO40" s="191"/>
      <c r="BP40" s="191"/>
      <c r="BQ40" s="191"/>
    </row>
    <row r="41" spans="1:69" ht="78.75" x14ac:dyDescent="0.65">
      <c r="A41" s="160">
        <v>38</v>
      </c>
      <c r="B41" s="160" t="s">
        <v>899</v>
      </c>
      <c r="C41" s="19" t="s">
        <v>930</v>
      </c>
      <c r="D41" s="28" t="s">
        <v>1159</v>
      </c>
      <c r="E41" s="207" t="s">
        <v>1092</v>
      </c>
      <c r="F41" s="194"/>
      <c r="G41" s="194"/>
      <c r="H41" s="194" t="s">
        <v>117</v>
      </c>
      <c r="I41" s="194" t="s">
        <v>1080</v>
      </c>
      <c r="J41" s="194" t="s">
        <v>1080</v>
      </c>
      <c r="K41" s="194" t="s">
        <v>1080</v>
      </c>
      <c r="L41" s="194" t="s">
        <v>1080</v>
      </c>
      <c r="M41" s="194" t="s">
        <v>1080</v>
      </c>
      <c r="N41" s="194">
        <f>COUNTIF(tblRisk[[#This Row],[Defends Against Malware]:[Defends Against Targeted Intrusions]],"Yes")</f>
        <v>0</v>
      </c>
      <c r="O41" s="160" t="s">
        <v>653</v>
      </c>
      <c r="P41" s="160" t="s">
        <v>88</v>
      </c>
      <c r="Q41" s="160" t="s">
        <v>30</v>
      </c>
      <c r="R41" s="160" t="s">
        <v>1082</v>
      </c>
      <c r="S41" s="160" t="s">
        <v>1436</v>
      </c>
      <c r="T41" s="160" t="s">
        <v>1434</v>
      </c>
      <c r="U41" s="160" t="s">
        <v>1435</v>
      </c>
      <c r="V41" s="160" t="s">
        <v>1586</v>
      </c>
      <c r="W41" s="160" t="s">
        <v>1709</v>
      </c>
      <c r="X41" s="160" t="s">
        <v>1750</v>
      </c>
      <c r="Y41" s="151">
        <f>IF(ISBLANK(tblRisk[[#This Row],[Threat Cluster]]),"",_xlfn.XLOOKUP(tblRisk[[#This Row],[Threat Cluster]],tblHIT[Threat Cluster],tblHIT[Quintile]))</f>
        <v>2</v>
      </c>
      <c r="Z41" s="152">
        <v>4</v>
      </c>
      <c r="AA41" s="153" t="str">
        <f>IF(OR(ISBLANK(tblRisk[[#This Row],[HIT Quintile]]),ISBLANK(tblRisk[[#This Row],[Control Maturity]])),"",_xlfn.XLOOKUP(tblRisk[[#This Row],[Control Maturity]] &amp; tblRisk[[#This Row],[HIT Quintile]],tblHITWDI[Lookup],tblHITWDI[Likelihood Description]))</f>
        <v>Foreseeable, not expected</v>
      </c>
      <c r="AB41" s="161">
        <f>IF(ISERROR(tblRisk[[#This Row],[Likelihood of Control Failure]]),"",VLOOKUP(tblRisk[[#This Row],[Likelihood of Control Failure]],tblLikelihood[],2,FALSE))</f>
        <v>2</v>
      </c>
      <c r="AC41" s="154">
        <v>2</v>
      </c>
      <c r="AD41" s="155">
        <v>2</v>
      </c>
      <c r="AE41" s="155">
        <v>2</v>
      </c>
      <c r="AF41" s="162">
        <f>IF(ISBLANK(tblRisk[[#This Row],[Impact to Mission]]),"",MAX(tblRisk[[#This Row],[Impact to Mission]:[Impact to Obligations]]))</f>
        <v>2</v>
      </c>
      <c r="AG41" s="163">
        <f>IF(ISERROR(tblRisk[[#This Row],[Impact Score]]*tblRisk[[#This Row],[Likelihood Score]]),"",tblRisk[[#This Row],[Likelihood Score]]*tblRisk[[#This Row],[Impact Score]])</f>
        <v>4</v>
      </c>
      <c r="AH41" s="163">
        <f>tblRisk[[#This Row],[Risk Score]]</f>
        <v>4</v>
      </c>
      <c r="AI41" s="164">
        <f t="shared" si="1"/>
        <v>9</v>
      </c>
      <c r="AJ41" s="164">
        <f>IF(tblRisk[[#This Row],[Safeguard Status]]="In Place",tblRisk[[#This Row],[Control Maturity after SG]],tblRisk[[#This Row],[Control Maturity]])</f>
        <v>4</v>
      </c>
      <c r="AK41" s="173" t="str">
        <f>IF(tblRisk[[#This Row],[Safeguard Status]]="In Place",tblRisk[[#This Row],[Safeguard Threat Cluster]],tblRisk[[#This Row],[Threat Cluster]])</f>
        <v>Hacking System</v>
      </c>
      <c r="AL41" s="164">
        <f>IF(tblRisk[[#This Row],[Safeguard Status]]="In Place",tblRisk[[#This Row],[Risk Level With Safeguard in Place]],tblRisk[[#This Row],[Risk Level]])</f>
        <v>4</v>
      </c>
      <c r="AM41" s="165" t="s">
        <v>1887</v>
      </c>
      <c r="AN41" s="165" t="str">
        <f>IF(tblRisk[[#This Row],[Risk Treatment Option]]="Manage",_xlfn.IFNA(INDEX(tblRiskTreatmentPrograms[#Data],MATCH(tblRisk[[#This Row],[Common Security Program]]&amp;tblRisk[[#This Row],[Common Security Control]],tblRiskTreatmentPrograms[Lookup],0),MATCH($AN$3,tblRiskTreatmentPrograms[#Headers],0)),txtBadRTP),"")</f>
        <v/>
      </c>
      <c r="AO41" s="165" t="str">
        <f>IF(tblRisk[[#This Row],[Risk Treatment Program]]="","",INDEX(tblRiskTreatmentPrograms[#Data],MATCH(tblRisk[[#This Row],[Risk Treatment Program]],tblRiskTreatmentPrograms[Risk Treatment Program],0),MATCH($AO$3,tblRiskTreatmentPrograms[#Headers],0)))</f>
        <v/>
      </c>
      <c r="AP41" s="165"/>
      <c r="AQ4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1" s="19" t="str">
        <f>tblRisk[[#This Row],[Threat Cluster]]</f>
        <v>Hacking System</v>
      </c>
      <c r="AS41" s="156">
        <f>IF(ISBLANK(tblRisk[[#This Row],[Safeguard Threat Cluster]]),"",_xlfn.XLOOKUP(tblRisk[[#This Row],[Safeguard Threat Cluster]],tblHIT[Threat Cluster],tblHIT[Quintile]))</f>
        <v>2</v>
      </c>
      <c r="AT41" s="157">
        <f>_xlfn.SWITCH(tblRisk[[#This Row],[Risk Treatment Option]],"Manage",tblRisk[[#This Row],[Control Maturity]]+1,tblRisk[[#This Row],[Control Maturity]])</f>
        <v>4</v>
      </c>
      <c r="AU4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1" s="166">
        <f>IF(ISERROR(tblRisk[[#This Row],[Likelihood of Control Failure after SG]]),"",VLOOKUP(tblRisk[[#This Row],[Likelihood of Control Failure after SG]],tblLikelihood[#Data],2,FALSE))</f>
        <v>2</v>
      </c>
      <c r="AW41" s="159">
        <f>tblRisk[[#This Row],[Impact to Mission]]</f>
        <v>2</v>
      </c>
      <c r="AX41" s="159">
        <f>tblRisk[[#This Row],[Impact to Objectives]]</f>
        <v>2</v>
      </c>
      <c r="AY41" s="159">
        <f>tblRisk[[#This Row],[Impact to Obligations]]</f>
        <v>2</v>
      </c>
      <c r="AZ41" s="166">
        <f>IF(ISBLANK(tblRisk[[#This Row],[Impact to Mission With Safeguard in Place]]),"",MAX(tblRisk[[#This Row],[Impact to Mission With Safeguard in Place]:[Impact to Obligations With Safeguard in Place]]))</f>
        <v>2</v>
      </c>
      <c r="BA41" s="167">
        <f>IF(ISERROR(tblRisk[[#This Row],[Impact Score with Safeguard in Place]]*tblRisk[[#This Row],[Likelihood Score with Safeguard in Place]]),"",tblRisk[[#This Row],[Impact Score with Safeguard in Place]]*tblRisk[[#This Row],[Likelihood Score with Safeguard in Place]])</f>
        <v>4</v>
      </c>
      <c r="BB41" s="164">
        <f>tblRisk[[#This Row],[Risk Score With Safeguard in Place]]</f>
        <v>4</v>
      </c>
      <c r="BC41" s="168" t="str">
        <f>IF(tblRisk[[#This Row],[Risk Treatment Option]]&lt;&gt;"Accept",IF(_xlfn.XLOOKUP(tblRisk[[#This Row],[Specific Safeguard Recommendation]],ProTrak[Task],ProTrak[Status],"Not Found")="Completed","Pending Validation","Pending"),"")</f>
        <v/>
      </c>
      <c r="BD41" s="169" t="str">
        <f>_xlfn.XLOOKUP(tblRisk[[#This Row],[Risk Treatment Program]],tblRiskTreatmentPrograms[Risk Treatment Program],tblRiskTreatmentPrograms[Estimated End Date (MM/DD/YYYY)],"")</f>
        <v/>
      </c>
      <c r="BE41" s="170"/>
      <c r="BF41" s="171" t="str">
        <f>_xlfn.IFNA(IF(tblRisk[[#This Row],[Due Date]]&lt;=vWhatIfQuarter,"Closed",""),"")</f>
        <v/>
      </c>
      <c r="BG41" s="171">
        <f>IF(tblRisk[[#This Row],[Scenario Builder Status]]="Closed",tblRisk[[#This Row],[Risk Score With Safeguard in Place]],tblRisk[[#This Row],[Risk Score]])</f>
        <v>4</v>
      </c>
      <c r="BH41" s="192" t="str">
        <f>tblRisk[[#This Row],[Common Security Program]]&amp;tblRisk[[#This Row],[Common Security Control]]&amp;tblRisk[[#This Row],[Asset Designation ]]</f>
        <v>System ManagementOperationDevices</v>
      </c>
      <c r="BI41" s="191"/>
      <c r="BJ41" s="191"/>
      <c r="BK41" s="191"/>
      <c r="BL41" s="191"/>
      <c r="BM41" s="191"/>
      <c r="BN41" s="191"/>
      <c r="BO41" s="191"/>
      <c r="BP41" s="191"/>
      <c r="BQ41" s="191"/>
    </row>
    <row r="42" spans="1:69" ht="126" x14ac:dyDescent="0.65">
      <c r="A42" s="160">
        <v>39</v>
      </c>
      <c r="B42" s="160" t="s">
        <v>899</v>
      </c>
      <c r="C42" s="19" t="s">
        <v>1023</v>
      </c>
      <c r="D42" s="28" t="s">
        <v>1160</v>
      </c>
      <c r="E42" s="207" t="s">
        <v>1094</v>
      </c>
      <c r="F42" s="194" t="s">
        <v>117</v>
      </c>
      <c r="G42" s="194" t="s">
        <v>117</v>
      </c>
      <c r="H42" s="194" t="s">
        <v>117</v>
      </c>
      <c r="I42" s="194" t="s">
        <v>1081</v>
      </c>
      <c r="J42" s="194" t="s">
        <v>1081</v>
      </c>
      <c r="K42" s="194" t="s">
        <v>1081</v>
      </c>
      <c r="L42" s="194" t="s">
        <v>1081</v>
      </c>
      <c r="M42" s="194" t="s">
        <v>1081</v>
      </c>
      <c r="N42" s="194">
        <f>COUNTIF(tblRisk[[#This Row],[Defends Against Malware]:[Defends Against Targeted Intrusions]],"Yes")</f>
        <v>5</v>
      </c>
      <c r="O42" s="160" t="s">
        <v>19</v>
      </c>
      <c r="P42" s="160" t="s">
        <v>86</v>
      </c>
      <c r="Q42" s="160" t="s">
        <v>34</v>
      </c>
      <c r="R42" s="160" t="s">
        <v>1086</v>
      </c>
      <c r="S42" s="160" t="s">
        <v>1087</v>
      </c>
      <c r="T42" s="160" t="s">
        <v>1419</v>
      </c>
      <c r="U42" s="160" t="s">
        <v>1420</v>
      </c>
      <c r="V42" s="19" t="s">
        <v>1587</v>
      </c>
      <c r="W42" s="160" t="s">
        <v>1709</v>
      </c>
      <c r="X42" s="160" t="s">
        <v>1751</v>
      </c>
      <c r="Y42" s="151">
        <f>IF(ISBLANK(tblRisk[[#This Row],[Threat Cluster]]),"",_xlfn.XLOOKUP(tblRisk[[#This Row],[Threat Cluster]],tblHIT[Threat Cluster],tblHIT[Quintile]))</f>
        <v>2</v>
      </c>
      <c r="Z42" s="152">
        <v>4</v>
      </c>
      <c r="AA42" s="153" t="str">
        <f>IF(OR(ISBLANK(tblRisk[[#This Row],[HIT Quintile]]),ISBLANK(tblRisk[[#This Row],[Control Maturity]])),"",_xlfn.XLOOKUP(tblRisk[[#This Row],[Control Maturity]] &amp; tblRisk[[#This Row],[HIT Quintile]],tblHITWDI[Lookup],tblHITWDI[Likelihood Description]))</f>
        <v>Foreseeable, not expected</v>
      </c>
      <c r="AB42" s="161">
        <f>IF(ISERROR(tblRisk[[#This Row],[Likelihood of Control Failure]]),"",VLOOKUP(tblRisk[[#This Row],[Likelihood of Control Failure]],tblLikelihood[],2,FALSE))</f>
        <v>2</v>
      </c>
      <c r="AC42" s="154">
        <v>2</v>
      </c>
      <c r="AD42" s="155">
        <v>2</v>
      </c>
      <c r="AE42" s="155">
        <v>2</v>
      </c>
      <c r="AF42" s="162">
        <f>IF(ISBLANK(tblRisk[[#This Row],[Impact to Mission]]),"",MAX(tblRisk[[#This Row],[Impact to Mission]:[Impact to Obligations]]))</f>
        <v>2</v>
      </c>
      <c r="AG42" s="163">
        <f>IF(ISERROR(tblRisk[[#This Row],[Impact Score]]*tblRisk[[#This Row],[Likelihood Score]]),"",tblRisk[[#This Row],[Likelihood Score]]*tblRisk[[#This Row],[Impact Score]])</f>
        <v>4</v>
      </c>
      <c r="AH42" s="163">
        <f>tblRisk[[#This Row],[Risk Score]]</f>
        <v>4</v>
      </c>
      <c r="AI42" s="164">
        <f t="shared" si="1"/>
        <v>9</v>
      </c>
      <c r="AJ42" s="164">
        <f>IF(tblRisk[[#This Row],[Safeguard Status]]="In Place",tblRisk[[#This Row],[Control Maturity after SG]],tblRisk[[#This Row],[Control Maturity]])</f>
        <v>4</v>
      </c>
      <c r="AK42" s="173" t="str">
        <f>IF(tblRisk[[#This Row],[Safeguard Status]]="In Place",tblRisk[[#This Row],[Safeguard Threat Cluster]],tblRisk[[#This Row],[Threat Cluster]])</f>
        <v>Personnel Misuse</v>
      </c>
      <c r="AL42" s="164">
        <f>IF(tblRisk[[#This Row],[Safeguard Status]]="In Place",tblRisk[[#This Row],[Risk Level With Safeguard in Place]],tblRisk[[#This Row],[Risk Level]])</f>
        <v>4</v>
      </c>
      <c r="AM42" s="165" t="s">
        <v>1887</v>
      </c>
      <c r="AN42" s="165" t="str">
        <f>IF(tblRisk[[#This Row],[Risk Treatment Option]]="Manage",_xlfn.IFNA(INDEX(tblRiskTreatmentPrograms[#Data],MATCH(tblRisk[[#This Row],[Common Security Program]]&amp;tblRisk[[#This Row],[Common Security Control]],tblRiskTreatmentPrograms[Lookup],0),MATCH($AN$3,tblRiskTreatmentPrograms[#Headers],0)),txtBadRTP),"")</f>
        <v/>
      </c>
      <c r="AO42" s="165" t="str">
        <f>IF(tblRisk[[#This Row],[Risk Treatment Program]]="","",INDEX(tblRiskTreatmentPrograms[#Data],MATCH(tblRisk[[#This Row],[Risk Treatment Program]],tblRiskTreatmentPrograms[Risk Treatment Program],0),MATCH($AO$3,tblRiskTreatmentPrograms[#Headers],0)))</f>
        <v/>
      </c>
      <c r="AP42" s="165"/>
      <c r="AQ4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2" s="19" t="str">
        <f>tblRisk[[#This Row],[Threat Cluster]]</f>
        <v>Personnel Misuse</v>
      </c>
      <c r="AS42" s="156">
        <f>IF(ISBLANK(tblRisk[[#This Row],[Safeguard Threat Cluster]]),"",_xlfn.XLOOKUP(tblRisk[[#This Row],[Safeguard Threat Cluster]],tblHIT[Threat Cluster],tblHIT[Quintile]))</f>
        <v>2</v>
      </c>
      <c r="AT42" s="157">
        <f>_xlfn.SWITCH(tblRisk[[#This Row],[Risk Treatment Option]],"Manage",tblRisk[[#This Row],[Control Maturity]]+1,tblRisk[[#This Row],[Control Maturity]])</f>
        <v>4</v>
      </c>
      <c r="AU4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2" s="166">
        <f>IF(ISERROR(tblRisk[[#This Row],[Likelihood of Control Failure after SG]]),"",VLOOKUP(tblRisk[[#This Row],[Likelihood of Control Failure after SG]],tblLikelihood[#Data],2,FALSE))</f>
        <v>2</v>
      </c>
      <c r="AW42" s="159">
        <f>tblRisk[[#This Row],[Impact to Mission]]</f>
        <v>2</v>
      </c>
      <c r="AX42" s="159">
        <f>tblRisk[[#This Row],[Impact to Objectives]]</f>
        <v>2</v>
      </c>
      <c r="AY42" s="159">
        <f>tblRisk[[#This Row],[Impact to Obligations]]</f>
        <v>2</v>
      </c>
      <c r="AZ42" s="166">
        <f>IF(ISBLANK(tblRisk[[#This Row],[Impact to Mission With Safeguard in Place]]),"",MAX(tblRisk[[#This Row],[Impact to Mission With Safeguard in Place]:[Impact to Obligations With Safeguard in Place]]))</f>
        <v>2</v>
      </c>
      <c r="BA42" s="167">
        <f>IF(ISERROR(tblRisk[[#This Row],[Impact Score with Safeguard in Place]]*tblRisk[[#This Row],[Likelihood Score with Safeguard in Place]]),"",tblRisk[[#This Row],[Impact Score with Safeguard in Place]]*tblRisk[[#This Row],[Likelihood Score with Safeguard in Place]])</f>
        <v>4</v>
      </c>
      <c r="BB42" s="164">
        <f>tblRisk[[#This Row],[Risk Score With Safeguard in Place]]</f>
        <v>4</v>
      </c>
      <c r="BC42" s="168" t="str">
        <f>IF(tblRisk[[#This Row],[Risk Treatment Option]]&lt;&gt;"Accept",IF(_xlfn.XLOOKUP(tblRisk[[#This Row],[Specific Safeguard Recommendation]],ProTrak[Task],ProTrak[Status],"Not Found")="Completed","Pending Validation","Pending"),"")</f>
        <v/>
      </c>
      <c r="BD42" s="169" t="str">
        <f>_xlfn.XLOOKUP(tblRisk[[#This Row],[Risk Treatment Program]],tblRiskTreatmentPrograms[Risk Treatment Program],tblRiskTreatmentPrograms[Estimated End Date (MM/DD/YYYY)],"")</f>
        <v/>
      </c>
      <c r="BE42" s="170"/>
      <c r="BF42" s="171" t="str">
        <f>_xlfn.IFNA(IF(tblRisk[[#This Row],[Due Date]]&lt;=vWhatIfQuarter,"Closed",""),"")</f>
        <v/>
      </c>
      <c r="BG42" s="171">
        <f>IF(tblRisk[[#This Row],[Scenario Builder Status]]="Closed",tblRisk[[#This Row],[Risk Score With Safeguard in Place]],tblRisk[[#This Row],[Risk Score]])</f>
        <v>4</v>
      </c>
      <c r="BH42" s="192" t="str">
        <f>tblRisk[[#This Row],[Common Security Program]]&amp;tblRisk[[#This Row],[Common Security Control]]&amp;tblRisk[[#This Row],[Asset Designation ]]</f>
        <v>Credential ManagementGovernanceUsers</v>
      </c>
      <c r="BI42" s="191"/>
      <c r="BJ42" s="191"/>
      <c r="BK42" s="191"/>
      <c r="BL42" s="191"/>
      <c r="BM42" s="191" t="s">
        <v>117</v>
      </c>
      <c r="BN42" s="191"/>
      <c r="BO42" s="191" t="s">
        <v>117</v>
      </c>
      <c r="BP42" s="191" t="s">
        <v>117</v>
      </c>
      <c r="BQ42" s="191"/>
    </row>
    <row r="43" spans="1:69" ht="47.25" x14ac:dyDescent="0.65">
      <c r="A43" s="160">
        <v>40</v>
      </c>
      <c r="B43" s="160" t="s">
        <v>899</v>
      </c>
      <c r="C43" s="19" t="s">
        <v>931</v>
      </c>
      <c r="D43" s="28" t="s">
        <v>1161</v>
      </c>
      <c r="E43" s="207" t="s">
        <v>1094</v>
      </c>
      <c r="F43" s="194" t="s">
        <v>117</v>
      </c>
      <c r="G43" s="194" t="s">
        <v>117</v>
      </c>
      <c r="H43" s="194" t="s">
        <v>117</v>
      </c>
      <c r="I43" s="194" t="s">
        <v>1081</v>
      </c>
      <c r="J43" s="194" t="s">
        <v>1081</v>
      </c>
      <c r="K43" s="194" t="s">
        <v>1081</v>
      </c>
      <c r="L43" s="194" t="s">
        <v>1081</v>
      </c>
      <c r="M43" s="194" t="s">
        <v>1081</v>
      </c>
      <c r="N43" s="194">
        <f>COUNTIF(tblRisk[[#This Row],[Defends Against Malware]:[Defends Against Targeted Intrusions]],"Yes")</f>
        <v>5</v>
      </c>
      <c r="O43" s="160" t="s">
        <v>19</v>
      </c>
      <c r="P43" s="160" t="s">
        <v>88</v>
      </c>
      <c r="Q43" s="160" t="s">
        <v>34</v>
      </c>
      <c r="R43" s="160" t="s">
        <v>1086</v>
      </c>
      <c r="S43" s="160" t="s">
        <v>1087</v>
      </c>
      <c r="T43" s="160" t="s">
        <v>1421</v>
      </c>
      <c r="U43" s="160" t="s">
        <v>1420</v>
      </c>
      <c r="V43" s="19" t="s">
        <v>1634</v>
      </c>
      <c r="W43" s="160" t="s">
        <v>1709</v>
      </c>
      <c r="X43" s="160" t="s">
        <v>1752</v>
      </c>
      <c r="Y43" s="151">
        <f>IF(ISBLANK(tblRisk[[#This Row],[Threat Cluster]]),"",_xlfn.XLOOKUP(tblRisk[[#This Row],[Threat Cluster]],tblHIT[Threat Cluster],tblHIT[Quintile]))</f>
        <v>2</v>
      </c>
      <c r="Z43" s="152">
        <v>4</v>
      </c>
      <c r="AA43" s="153" t="str">
        <f>IF(OR(ISBLANK(tblRisk[[#This Row],[HIT Quintile]]),ISBLANK(tblRisk[[#This Row],[Control Maturity]])),"",_xlfn.XLOOKUP(tblRisk[[#This Row],[Control Maturity]] &amp; tblRisk[[#This Row],[HIT Quintile]],tblHITWDI[Lookup],tblHITWDI[Likelihood Description]))</f>
        <v>Foreseeable, not expected</v>
      </c>
      <c r="AB43" s="161">
        <f>IF(ISERROR(tblRisk[[#This Row],[Likelihood of Control Failure]]),"",VLOOKUP(tblRisk[[#This Row],[Likelihood of Control Failure]],tblLikelihood[],2,FALSE))</f>
        <v>2</v>
      </c>
      <c r="AC43" s="154">
        <v>2</v>
      </c>
      <c r="AD43" s="155">
        <v>2</v>
      </c>
      <c r="AE43" s="155">
        <v>2</v>
      </c>
      <c r="AF43" s="162">
        <f>IF(ISBLANK(tblRisk[[#This Row],[Impact to Mission]]),"",MAX(tblRisk[[#This Row],[Impact to Mission]:[Impact to Obligations]]))</f>
        <v>2</v>
      </c>
      <c r="AG43" s="163">
        <f>IF(ISERROR(tblRisk[[#This Row],[Impact Score]]*tblRisk[[#This Row],[Likelihood Score]]),"",tblRisk[[#This Row],[Likelihood Score]]*tblRisk[[#This Row],[Impact Score]])</f>
        <v>4</v>
      </c>
      <c r="AH43" s="163">
        <f>tblRisk[[#This Row],[Risk Score]]</f>
        <v>4</v>
      </c>
      <c r="AI43" s="164">
        <f t="shared" si="1"/>
        <v>9</v>
      </c>
      <c r="AJ43" s="164">
        <f>IF(tblRisk[[#This Row],[Safeguard Status]]="In Place",tblRisk[[#This Row],[Control Maturity after SG]],tblRisk[[#This Row],[Control Maturity]])</f>
        <v>4</v>
      </c>
      <c r="AK43" s="173" t="str">
        <f>IF(tblRisk[[#This Row],[Safeguard Status]]="In Place",tblRisk[[#This Row],[Safeguard Threat Cluster]],tblRisk[[#This Row],[Threat Cluster]])</f>
        <v>Personnel Misuse</v>
      </c>
      <c r="AL43" s="164">
        <f>IF(tblRisk[[#This Row],[Safeguard Status]]="In Place",tblRisk[[#This Row],[Risk Level With Safeguard in Place]],tblRisk[[#This Row],[Risk Level]])</f>
        <v>4</v>
      </c>
      <c r="AM43" s="165" t="s">
        <v>1887</v>
      </c>
      <c r="AN43" s="165" t="str">
        <f>IF(tblRisk[[#This Row],[Risk Treatment Option]]="Manage",_xlfn.IFNA(INDEX(tblRiskTreatmentPrograms[#Data],MATCH(tblRisk[[#This Row],[Common Security Program]]&amp;tblRisk[[#This Row],[Common Security Control]],tblRiskTreatmentPrograms[Lookup],0),MATCH($AN$3,tblRiskTreatmentPrograms[#Headers],0)),txtBadRTP),"")</f>
        <v/>
      </c>
      <c r="AO43" s="165" t="str">
        <f>IF(tblRisk[[#This Row],[Risk Treatment Program]]="","",INDEX(tblRiskTreatmentPrograms[#Data],MATCH(tblRisk[[#This Row],[Risk Treatment Program]],tblRiskTreatmentPrograms[Risk Treatment Program],0),MATCH($AO$3,tblRiskTreatmentPrograms[#Headers],0)))</f>
        <v/>
      </c>
      <c r="AP43" s="165"/>
      <c r="AQ4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3" s="19" t="str">
        <f>tblRisk[[#This Row],[Threat Cluster]]</f>
        <v>Personnel Misuse</v>
      </c>
      <c r="AS43" s="156">
        <f>IF(ISBLANK(tblRisk[[#This Row],[Safeguard Threat Cluster]]),"",_xlfn.XLOOKUP(tblRisk[[#This Row],[Safeguard Threat Cluster]],tblHIT[Threat Cluster],tblHIT[Quintile]))</f>
        <v>2</v>
      </c>
      <c r="AT43" s="157">
        <f>_xlfn.SWITCH(tblRisk[[#This Row],[Risk Treatment Option]],"Manage",tblRisk[[#This Row],[Control Maturity]]+1,tblRisk[[#This Row],[Control Maturity]])</f>
        <v>4</v>
      </c>
      <c r="AU4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3" s="166">
        <f>IF(ISERROR(tblRisk[[#This Row],[Likelihood of Control Failure after SG]]),"",VLOOKUP(tblRisk[[#This Row],[Likelihood of Control Failure after SG]],tblLikelihood[#Data],2,FALSE))</f>
        <v>2</v>
      </c>
      <c r="AW43" s="159">
        <f>tblRisk[[#This Row],[Impact to Mission]]</f>
        <v>2</v>
      </c>
      <c r="AX43" s="159">
        <f>tblRisk[[#This Row],[Impact to Objectives]]</f>
        <v>2</v>
      </c>
      <c r="AY43" s="159">
        <f>tblRisk[[#This Row],[Impact to Obligations]]</f>
        <v>2</v>
      </c>
      <c r="AZ43" s="166">
        <f>IF(ISBLANK(tblRisk[[#This Row],[Impact to Mission With Safeguard in Place]]),"",MAX(tblRisk[[#This Row],[Impact to Mission With Safeguard in Place]:[Impact to Obligations With Safeguard in Place]]))</f>
        <v>2</v>
      </c>
      <c r="BA43" s="167">
        <f>IF(ISERROR(tblRisk[[#This Row],[Impact Score with Safeguard in Place]]*tblRisk[[#This Row],[Likelihood Score with Safeguard in Place]]),"",tblRisk[[#This Row],[Impact Score with Safeguard in Place]]*tblRisk[[#This Row],[Likelihood Score with Safeguard in Place]])</f>
        <v>4</v>
      </c>
      <c r="BB43" s="164">
        <f>tblRisk[[#This Row],[Risk Score With Safeguard in Place]]</f>
        <v>4</v>
      </c>
      <c r="BC43" s="168" t="str">
        <f>IF(tblRisk[[#This Row],[Risk Treatment Option]]&lt;&gt;"Accept",IF(_xlfn.XLOOKUP(tblRisk[[#This Row],[Specific Safeguard Recommendation]],ProTrak[Task],ProTrak[Status],"Not Found")="Completed","Pending Validation","Pending"),"")</f>
        <v/>
      </c>
      <c r="BD43" s="169" t="str">
        <f>_xlfn.XLOOKUP(tblRisk[[#This Row],[Risk Treatment Program]],tblRiskTreatmentPrograms[Risk Treatment Program],tblRiskTreatmentPrograms[Estimated End Date (MM/DD/YYYY)],"")</f>
        <v/>
      </c>
      <c r="BE43" s="170"/>
      <c r="BF43" s="171" t="str">
        <f>_xlfn.IFNA(IF(tblRisk[[#This Row],[Due Date]]&lt;=vWhatIfQuarter,"Closed",""),"")</f>
        <v/>
      </c>
      <c r="BG43" s="171">
        <f>IF(tblRisk[[#This Row],[Scenario Builder Status]]="Closed",tblRisk[[#This Row],[Risk Score With Safeguard in Place]],tblRisk[[#This Row],[Risk Score]])</f>
        <v>4</v>
      </c>
      <c r="BH43" s="192" t="str">
        <f>tblRisk[[#This Row],[Common Security Program]]&amp;tblRisk[[#This Row],[Common Security Control]]&amp;tblRisk[[#This Row],[Asset Designation ]]</f>
        <v>Credential ManagementOperationUsers</v>
      </c>
      <c r="BI43" s="191"/>
      <c r="BJ43" s="191"/>
      <c r="BK43" s="191"/>
      <c r="BL43" s="191"/>
      <c r="BM43" s="191" t="s">
        <v>117</v>
      </c>
      <c r="BN43" s="191"/>
      <c r="BO43" s="191" t="s">
        <v>117</v>
      </c>
      <c r="BP43" s="191" t="s">
        <v>117</v>
      </c>
      <c r="BQ43" s="191"/>
    </row>
    <row r="44" spans="1:69" ht="47.25" x14ac:dyDescent="0.65">
      <c r="A44" s="160">
        <v>41</v>
      </c>
      <c r="B44" s="160" t="s">
        <v>899</v>
      </c>
      <c r="C44" s="19" t="s">
        <v>932</v>
      </c>
      <c r="D44" s="28" t="s">
        <v>1162</v>
      </c>
      <c r="E44" s="207" t="s">
        <v>1094</v>
      </c>
      <c r="F44" s="194" t="s">
        <v>117</v>
      </c>
      <c r="G44" s="194" t="s">
        <v>117</v>
      </c>
      <c r="H44" s="194" t="s">
        <v>117</v>
      </c>
      <c r="I44" s="194" t="s">
        <v>1081</v>
      </c>
      <c r="J44" s="194" t="s">
        <v>1081</v>
      </c>
      <c r="K44" s="194" t="s">
        <v>1081</v>
      </c>
      <c r="L44" s="194" t="s">
        <v>1081</v>
      </c>
      <c r="M44" s="194" t="s">
        <v>1081</v>
      </c>
      <c r="N44" s="194">
        <f>COUNTIF(tblRisk[[#This Row],[Defends Against Malware]:[Defends Against Targeted Intrusions]],"Yes")</f>
        <v>5</v>
      </c>
      <c r="O44" s="160" t="s">
        <v>19</v>
      </c>
      <c r="P44" s="160" t="s">
        <v>88</v>
      </c>
      <c r="Q44" s="160" t="s">
        <v>34</v>
      </c>
      <c r="R44" s="160" t="s">
        <v>1086</v>
      </c>
      <c r="S44" s="160" t="s">
        <v>1087</v>
      </c>
      <c r="T44" s="160" t="s">
        <v>1421</v>
      </c>
      <c r="U44" s="160" t="s">
        <v>1420</v>
      </c>
      <c r="V44" s="19" t="s">
        <v>1632</v>
      </c>
      <c r="W44" s="160" t="s">
        <v>1753</v>
      </c>
      <c r="X44" s="160" t="s">
        <v>1754</v>
      </c>
      <c r="Y44" s="151">
        <f>IF(ISBLANK(tblRisk[[#This Row],[Threat Cluster]]),"",_xlfn.XLOOKUP(tblRisk[[#This Row],[Threat Cluster]],tblHIT[Threat Cluster],tblHIT[Quintile]))</f>
        <v>2</v>
      </c>
      <c r="Z44" s="152">
        <v>3</v>
      </c>
      <c r="AA44" s="153" t="str">
        <f>IF(OR(ISBLANK(tblRisk[[#This Row],[HIT Quintile]]),ISBLANK(tblRisk[[#This Row],[Control Maturity]])),"",_xlfn.XLOOKUP(tblRisk[[#This Row],[Control Maturity]] &amp; tblRisk[[#This Row],[HIT Quintile]],tblHITWDI[Lookup],tblHITWDI[Likelihood Description]))</f>
        <v>Foreseeable, expected</v>
      </c>
      <c r="AB44" s="161">
        <f>IF(ISERROR(tblRisk[[#This Row],[Likelihood of Control Failure]]),"",VLOOKUP(tblRisk[[#This Row],[Likelihood of Control Failure]],tblLikelihood[],2,FALSE))</f>
        <v>3</v>
      </c>
      <c r="AC44" s="154">
        <v>2</v>
      </c>
      <c r="AD44" s="155">
        <v>2</v>
      </c>
      <c r="AE44" s="155">
        <v>2</v>
      </c>
      <c r="AF44" s="162">
        <f>IF(ISBLANK(tblRisk[[#This Row],[Impact to Mission]]),"",MAX(tblRisk[[#This Row],[Impact to Mission]:[Impact to Obligations]]))</f>
        <v>2</v>
      </c>
      <c r="AG44" s="163">
        <f>IF(ISERROR(tblRisk[[#This Row],[Impact Score]]*tblRisk[[#This Row],[Likelihood Score]]),"",tblRisk[[#This Row],[Likelihood Score]]*tblRisk[[#This Row],[Impact Score]])</f>
        <v>6</v>
      </c>
      <c r="AH44" s="163">
        <f>tblRisk[[#This Row],[Risk Score]]</f>
        <v>6</v>
      </c>
      <c r="AI44" s="164">
        <f t="shared" ref="AI44:AI107" si="2">valALR</f>
        <v>9</v>
      </c>
      <c r="AJ44" s="164">
        <f>IF(tblRisk[[#This Row],[Safeguard Status]]="In Place",tblRisk[[#This Row],[Control Maturity after SG]],tblRisk[[#This Row],[Control Maturity]])</f>
        <v>3</v>
      </c>
      <c r="AK44" s="173" t="str">
        <f>IF(tblRisk[[#This Row],[Safeguard Status]]="In Place",tblRisk[[#This Row],[Safeguard Threat Cluster]],tblRisk[[#This Row],[Threat Cluster]])</f>
        <v>Personnel Misuse</v>
      </c>
      <c r="AL44" s="164">
        <f>IF(tblRisk[[#This Row],[Safeguard Status]]="In Place",tblRisk[[#This Row],[Risk Level With Safeguard in Place]],tblRisk[[#This Row],[Risk Level]])</f>
        <v>6</v>
      </c>
      <c r="AM44" s="165" t="s">
        <v>1887</v>
      </c>
      <c r="AN44" s="165" t="str">
        <f>IF(tblRisk[[#This Row],[Risk Treatment Option]]="Manage",_xlfn.IFNA(INDEX(tblRiskTreatmentPrograms[#Data],MATCH(tblRisk[[#This Row],[Common Security Program]]&amp;tblRisk[[#This Row],[Common Security Control]],tblRiskTreatmentPrograms[Lookup],0),MATCH($AN$3,tblRiskTreatmentPrograms[#Headers],0)),txtBadRTP),"")</f>
        <v/>
      </c>
      <c r="AO44" s="165" t="str">
        <f>IF(tblRisk[[#This Row],[Risk Treatment Program]]="","",INDEX(tblRiskTreatmentPrograms[#Data],MATCH(tblRisk[[#This Row],[Risk Treatment Program]],tblRiskTreatmentPrograms[Risk Treatment Program],0),MATCH($AO$3,tblRiskTreatmentPrograms[#Headers],0)))</f>
        <v/>
      </c>
      <c r="AP44" s="165"/>
      <c r="AQ4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4" s="19" t="str">
        <f>tblRisk[[#This Row],[Threat Cluster]]</f>
        <v>Personnel Misuse</v>
      </c>
      <c r="AS44" s="156">
        <f>IF(ISBLANK(tblRisk[[#This Row],[Safeguard Threat Cluster]]),"",_xlfn.XLOOKUP(tblRisk[[#This Row],[Safeguard Threat Cluster]],tblHIT[Threat Cluster],tblHIT[Quintile]))</f>
        <v>2</v>
      </c>
      <c r="AT44" s="157">
        <f>_xlfn.SWITCH(tblRisk[[#This Row],[Risk Treatment Option]],"Manage",tblRisk[[#This Row],[Control Maturity]]+1,tblRisk[[#This Row],[Control Maturity]])</f>
        <v>3</v>
      </c>
      <c r="AU44" s="158" t="str">
        <f>IF(OR(ISBLANK(tblRisk[[#This Row],[Safeguard HIT Quintile]]),ISBLANK(tblRisk[[#This Row],[Control Maturity after SG]])),"",_xlfn.XLOOKUP(tblRisk[[#This Row],[Control Maturity after SG]] &amp;tblRisk[[#This Row],[Safeguard HIT Quintile]],tblHITWDI[Lookup],tblHITWDI[Likelihood Description]))</f>
        <v>Foreseeable, expected</v>
      </c>
      <c r="AV44" s="166">
        <f>IF(ISERROR(tblRisk[[#This Row],[Likelihood of Control Failure after SG]]),"",VLOOKUP(tblRisk[[#This Row],[Likelihood of Control Failure after SG]],tblLikelihood[#Data],2,FALSE))</f>
        <v>3</v>
      </c>
      <c r="AW44" s="159">
        <f>tblRisk[[#This Row],[Impact to Mission]]</f>
        <v>2</v>
      </c>
      <c r="AX44" s="159">
        <f>tblRisk[[#This Row],[Impact to Objectives]]</f>
        <v>2</v>
      </c>
      <c r="AY44" s="159">
        <f>tblRisk[[#This Row],[Impact to Obligations]]</f>
        <v>2</v>
      </c>
      <c r="AZ44" s="166">
        <f>IF(ISBLANK(tblRisk[[#This Row],[Impact to Mission With Safeguard in Place]]),"",MAX(tblRisk[[#This Row],[Impact to Mission With Safeguard in Place]:[Impact to Obligations With Safeguard in Place]]))</f>
        <v>2</v>
      </c>
      <c r="BA44" s="167">
        <f>IF(ISERROR(tblRisk[[#This Row],[Impact Score with Safeguard in Place]]*tblRisk[[#This Row],[Likelihood Score with Safeguard in Place]]),"",tblRisk[[#This Row],[Impact Score with Safeguard in Place]]*tblRisk[[#This Row],[Likelihood Score with Safeguard in Place]])</f>
        <v>6</v>
      </c>
      <c r="BB44" s="164">
        <f>tblRisk[[#This Row],[Risk Score With Safeguard in Place]]</f>
        <v>6</v>
      </c>
      <c r="BC44" s="168" t="str">
        <f>IF(tblRisk[[#This Row],[Risk Treatment Option]]&lt;&gt;"Accept",IF(_xlfn.XLOOKUP(tblRisk[[#This Row],[Specific Safeguard Recommendation]],ProTrak[Task],ProTrak[Status],"Not Found")="Completed","Pending Validation","Pending"),"")</f>
        <v/>
      </c>
      <c r="BD44" s="169" t="str">
        <f>_xlfn.XLOOKUP(tblRisk[[#This Row],[Risk Treatment Program]],tblRiskTreatmentPrograms[Risk Treatment Program],tblRiskTreatmentPrograms[Estimated End Date (MM/DD/YYYY)],"")</f>
        <v/>
      </c>
      <c r="BE44" s="170"/>
      <c r="BF44" s="171" t="str">
        <f>_xlfn.IFNA(IF(tblRisk[[#This Row],[Due Date]]&lt;=vWhatIfQuarter,"Closed",""),"")</f>
        <v/>
      </c>
      <c r="BG44" s="171">
        <f>IF(tblRisk[[#This Row],[Scenario Builder Status]]="Closed",tblRisk[[#This Row],[Risk Score With Safeguard in Place]],tblRisk[[#This Row],[Risk Score]])</f>
        <v>6</v>
      </c>
      <c r="BH44" s="192" t="str">
        <f>tblRisk[[#This Row],[Common Security Program]]&amp;tblRisk[[#This Row],[Common Security Control]]&amp;tblRisk[[#This Row],[Asset Designation ]]</f>
        <v>Credential ManagementOperationUsers</v>
      </c>
      <c r="BI44" s="191"/>
      <c r="BJ44" s="191"/>
      <c r="BK44" s="191"/>
      <c r="BL44" s="191"/>
      <c r="BM44" s="191" t="s">
        <v>117</v>
      </c>
      <c r="BN44" s="191"/>
      <c r="BO44" s="191" t="s">
        <v>117</v>
      </c>
      <c r="BP44" s="191" t="s">
        <v>117</v>
      </c>
      <c r="BQ44" s="191"/>
    </row>
    <row r="45" spans="1:69" ht="126" x14ac:dyDescent="0.65">
      <c r="A45" s="160">
        <v>42</v>
      </c>
      <c r="B45" s="160" t="s">
        <v>899</v>
      </c>
      <c r="C45" s="19" t="s">
        <v>933</v>
      </c>
      <c r="D45" s="28" t="s">
        <v>1163</v>
      </c>
      <c r="E45" s="207" t="s">
        <v>1094</v>
      </c>
      <c r="F45" s="194" t="s">
        <v>117</v>
      </c>
      <c r="G45" s="194" t="s">
        <v>117</v>
      </c>
      <c r="H45" s="194" t="s">
        <v>117</v>
      </c>
      <c r="I45" s="194" t="s">
        <v>1081</v>
      </c>
      <c r="J45" s="194" t="s">
        <v>1081</v>
      </c>
      <c r="K45" s="194" t="s">
        <v>1081</v>
      </c>
      <c r="L45" s="194" t="s">
        <v>1081</v>
      </c>
      <c r="M45" s="194" t="s">
        <v>1081</v>
      </c>
      <c r="N45" s="194">
        <f>COUNTIF(tblRisk[[#This Row],[Defends Against Malware]:[Defends Against Targeted Intrusions]],"Yes")</f>
        <v>5</v>
      </c>
      <c r="O45" s="160" t="s">
        <v>18</v>
      </c>
      <c r="P45" s="160" t="s">
        <v>88</v>
      </c>
      <c r="Q45" s="160" t="s">
        <v>34</v>
      </c>
      <c r="R45" s="160" t="s">
        <v>1086</v>
      </c>
      <c r="S45" s="160" t="s">
        <v>1418</v>
      </c>
      <c r="T45" s="160" t="s">
        <v>1416</v>
      </c>
      <c r="U45" s="160" t="s">
        <v>1417</v>
      </c>
      <c r="V45" s="19" t="s">
        <v>1635</v>
      </c>
      <c r="W45" s="160" t="s">
        <v>1709</v>
      </c>
      <c r="X45" s="160" t="s">
        <v>1755</v>
      </c>
      <c r="Y45" s="151">
        <f>IF(ISBLANK(tblRisk[[#This Row],[Threat Cluster]]),"",_xlfn.XLOOKUP(tblRisk[[#This Row],[Threat Cluster]],tblHIT[Threat Cluster],tblHIT[Quintile]))</f>
        <v>2</v>
      </c>
      <c r="Z45" s="152">
        <v>4</v>
      </c>
      <c r="AA45" s="153" t="str">
        <f>IF(OR(ISBLANK(tblRisk[[#This Row],[HIT Quintile]]),ISBLANK(tblRisk[[#This Row],[Control Maturity]])),"",_xlfn.XLOOKUP(tblRisk[[#This Row],[Control Maturity]] &amp; tblRisk[[#This Row],[HIT Quintile]],tblHITWDI[Lookup],tblHITWDI[Likelihood Description]))</f>
        <v>Foreseeable, not expected</v>
      </c>
      <c r="AB45" s="161">
        <f>IF(ISERROR(tblRisk[[#This Row],[Likelihood of Control Failure]]),"",VLOOKUP(tblRisk[[#This Row],[Likelihood of Control Failure]],tblLikelihood[],2,FALSE))</f>
        <v>2</v>
      </c>
      <c r="AC45" s="154">
        <v>2</v>
      </c>
      <c r="AD45" s="155">
        <v>2</v>
      </c>
      <c r="AE45" s="155">
        <v>2</v>
      </c>
      <c r="AF45" s="162">
        <f>IF(ISBLANK(tblRisk[[#This Row],[Impact to Mission]]),"",MAX(tblRisk[[#This Row],[Impact to Mission]:[Impact to Obligations]]))</f>
        <v>2</v>
      </c>
      <c r="AG45" s="163">
        <f>IF(ISERROR(tblRisk[[#This Row],[Impact Score]]*tblRisk[[#This Row],[Likelihood Score]]),"",tblRisk[[#This Row],[Likelihood Score]]*tblRisk[[#This Row],[Impact Score]])</f>
        <v>4</v>
      </c>
      <c r="AH45" s="163">
        <f>tblRisk[[#This Row],[Risk Score]]</f>
        <v>4</v>
      </c>
      <c r="AI45" s="164">
        <f t="shared" si="2"/>
        <v>9</v>
      </c>
      <c r="AJ45" s="164">
        <f>IF(tblRisk[[#This Row],[Safeguard Status]]="In Place",tblRisk[[#This Row],[Control Maturity after SG]],tblRisk[[#This Row],[Control Maturity]])</f>
        <v>4</v>
      </c>
      <c r="AK45" s="173" t="str">
        <f>IF(tblRisk[[#This Row],[Safeguard Status]]="In Place",tblRisk[[#This Row],[Safeguard Threat Cluster]],tblRisk[[#This Row],[Threat Cluster]])</f>
        <v>Personnel Misuse</v>
      </c>
      <c r="AL45" s="164">
        <f>IF(tblRisk[[#This Row],[Safeguard Status]]="In Place",tblRisk[[#This Row],[Risk Level With Safeguard in Place]],tblRisk[[#This Row],[Risk Level]])</f>
        <v>4</v>
      </c>
      <c r="AM45" s="165" t="s">
        <v>1887</v>
      </c>
      <c r="AN45" s="165" t="str">
        <f>IF(tblRisk[[#This Row],[Risk Treatment Option]]="Manage",_xlfn.IFNA(INDEX(tblRiskTreatmentPrograms[#Data],MATCH(tblRisk[[#This Row],[Common Security Program]]&amp;tblRisk[[#This Row],[Common Security Control]],tblRiskTreatmentPrograms[Lookup],0),MATCH($AN$3,tblRiskTreatmentPrograms[#Headers],0)),txtBadRTP),"")</f>
        <v/>
      </c>
      <c r="AO45" s="165" t="str">
        <f>IF(tblRisk[[#This Row],[Risk Treatment Program]]="","",INDEX(tblRiskTreatmentPrograms[#Data],MATCH(tblRisk[[#This Row],[Risk Treatment Program]],tblRiskTreatmentPrograms[Risk Treatment Program],0),MATCH($AO$3,tblRiskTreatmentPrograms[#Headers],0)))</f>
        <v/>
      </c>
      <c r="AP45" s="165"/>
      <c r="AQ4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5" s="19" t="str">
        <f>tblRisk[[#This Row],[Threat Cluster]]</f>
        <v>Personnel Misuse</v>
      </c>
      <c r="AS45" s="156">
        <f>IF(ISBLANK(tblRisk[[#This Row],[Safeguard Threat Cluster]]),"",_xlfn.XLOOKUP(tblRisk[[#This Row],[Safeguard Threat Cluster]],tblHIT[Threat Cluster],tblHIT[Quintile]))</f>
        <v>2</v>
      </c>
      <c r="AT45" s="157">
        <f>_xlfn.SWITCH(tblRisk[[#This Row],[Risk Treatment Option]],"Manage",tblRisk[[#This Row],[Control Maturity]]+1,tblRisk[[#This Row],[Control Maturity]])</f>
        <v>4</v>
      </c>
      <c r="AU4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5" s="166">
        <f>IF(ISERROR(tblRisk[[#This Row],[Likelihood of Control Failure after SG]]),"",VLOOKUP(tblRisk[[#This Row],[Likelihood of Control Failure after SG]],tblLikelihood[#Data],2,FALSE))</f>
        <v>2</v>
      </c>
      <c r="AW45" s="159">
        <f>tblRisk[[#This Row],[Impact to Mission]]</f>
        <v>2</v>
      </c>
      <c r="AX45" s="159">
        <f>tblRisk[[#This Row],[Impact to Objectives]]</f>
        <v>2</v>
      </c>
      <c r="AY45" s="159">
        <f>tblRisk[[#This Row],[Impact to Obligations]]</f>
        <v>2</v>
      </c>
      <c r="AZ45" s="166">
        <f>IF(ISBLANK(tblRisk[[#This Row],[Impact to Mission With Safeguard in Place]]),"",MAX(tblRisk[[#This Row],[Impact to Mission With Safeguard in Place]:[Impact to Obligations With Safeguard in Place]]))</f>
        <v>2</v>
      </c>
      <c r="BA45" s="167">
        <f>IF(ISERROR(tblRisk[[#This Row],[Impact Score with Safeguard in Place]]*tblRisk[[#This Row],[Likelihood Score with Safeguard in Place]]),"",tblRisk[[#This Row],[Impact Score with Safeguard in Place]]*tblRisk[[#This Row],[Likelihood Score with Safeguard in Place]])</f>
        <v>4</v>
      </c>
      <c r="BB45" s="164">
        <f>tblRisk[[#This Row],[Risk Score With Safeguard in Place]]</f>
        <v>4</v>
      </c>
      <c r="BC45" s="168" t="str">
        <f>IF(tblRisk[[#This Row],[Risk Treatment Option]]&lt;&gt;"Accept",IF(_xlfn.XLOOKUP(tblRisk[[#This Row],[Specific Safeguard Recommendation]],ProTrak[Task],ProTrak[Status],"Not Found")="Completed","Pending Validation","Pending"),"")</f>
        <v/>
      </c>
      <c r="BD45" s="169" t="str">
        <f>_xlfn.XLOOKUP(tblRisk[[#This Row],[Risk Treatment Program]],tblRiskTreatmentPrograms[Risk Treatment Program],tblRiskTreatmentPrograms[Estimated End Date (MM/DD/YYYY)],"")</f>
        <v/>
      </c>
      <c r="BE45" s="170"/>
      <c r="BF45" s="171" t="str">
        <f>_xlfn.IFNA(IF(tblRisk[[#This Row],[Due Date]]&lt;=vWhatIfQuarter,"Closed",""),"")</f>
        <v/>
      </c>
      <c r="BG45" s="171">
        <f>IF(tblRisk[[#This Row],[Scenario Builder Status]]="Closed",tblRisk[[#This Row],[Risk Score With Safeguard in Place]],tblRisk[[#This Row],[Risk Score]])</f>
        <v>4</v>
      </c>
      <c r="BH45" s="192" t="str">
        <f>tblRisk[[#This Row],[Common Security Program]]&amp;tblRisk[[#This Row],[Common Security Control]]&amp;tblRisk[[#This Row],[Asset Designation ]]</f>
        <v>Access ControlOperationUsers</v>
      </c>
      <c r="BI45" s="191"/>
      <c r="BJ45" s="191"/>
      <c r="BK45" s="191"/>
      <c r="BL45" s="191"/>
      <c r="BM45" s="191" t="s">
        <v>117</v>
      </c>
      <c r="BN45" s="191"/>
      <c r="BO45" s="191" t="s">
        <v>117</v>
      </c>
      <c r="BP45" s="191" t="s">
        <v>117</v>
      </c>
      <c r="BQ45" s="191"/>
    </row>
    <row r="46" spans="1:69" ht="47.25" x14ac:dyDescent="0.65">
      <c r="A46" s="160">
        <v>43</v>
      </c>
      <c r="B46" s="160" t="s">
        <v>899</v>
      </c>
      <c r="C46" s="19" t="s">
        <v>1024</v>
      </c>
      <c r="D46" s="28" t="s">
        <v>1164</v>
      </c>
      <c r="E46" s="207" t="s">
        <v>1094</v>
      </c>
      <c r="F46" s="194"/>
      <c r="G46" s="194" t="s">
        <v>117</v>
      </c>
      <c r="H46" s="194" t="s">
        <v>117</v>
      </c>
      <c r="I46" s="194" t="s">
        <v>1081</v>
      </c>
      <c r="J46" s="194" t="s">
        <v>1081</v>
      </c>
      <c r="K46" s="194" t="s">
        <v>1081</v>
      </c>
      <c r="L46" s="194" t="s">
        <v>1081</v>
      </c>
      <c r="M46" s="194" t="s">
        <v>1081</v>
      </c>
      <c r="N46" s="194">
        <f>COUNTIF(tblRisk[[#This Row],[Defends Against Malware]:[Defends Against Targeted Intrusions]],"Yes")</f>
        <v>5</v>
      </c>
      <c r="O46" s="160" t="s">
        <v>19</v>
      </c>
      <c r="P46" s="160" t="s">
        <v>86</v>
      </c>
      <c r="Q46" s="160" t="s">
        <v>30</v>
      </c>
      <c r="R46" s="160" t="s">
        <v>1086</v>
      </c>
      <c r="S46" s="160" t="s">
        <v>1087</v>
      </c>
      <c r="T46" s="160" t="s">
        <v>1419</v>
      </c>
      <c r="U46" s="160" t="s">
        <v>1420</v>
      </c>
      <c r="V46" s="19" t="s">
        <v>1908</v>
      </c>
      <c r="W46" s="160" t="s">
        <v>1709</v>
      </c>
      <c r="X46" s="160" t="s">
        <v>1756</v>
      </c>
      <c r="Y46" s="151">
        <f>IF(ISBLANK(tblRisk[[#This Row],[Threat Cluster]]),"",_xlfn.XLOOKUP(tblRisk[[#This Row],[Threat Cluster]],tblHIT[Threat Cluster],tblHIT[Quintile]))</f>
        <v>2</v>
      </c>
      <c r="Z46" s="152">
        <v>4</v>
      </c>
      <c r="AA46" s="153" t="str">
        <f>IF(OR(ISBLANK(tblRisk[[#This Row],[HIT Quintile]]),ISBLANK(tblRisk[[#This Row],[Control Maturity]])),"",_xlfn.XLOOKUP(tblRisk[[#This Row],[Control Maturity]] &amp; tblRisk[[#This Row],[HIT Quintile]],tblHITWDI[Lookup],tblHITWDI[Likelihood Description]))</f>
        <v>Foreseeable, not expected</v>
      </c>
      <c r="AB46" s="161">
        <f>IF(ISERROR(tblRisk[[#This Row],[Likelihood of Control Failure]]),"",VLOOKUP(tblRisk[[#This Row],[Likelihood of Control Failure]],tblLikelihood[],2,FALSE))</f>
        <v>2</v>
      </c>
      <c r="AC46" s="154">
        <v>2</v>
      </c>
      <c r="AD46" s="155">
        <v>2</v>
      </c>
      <c r="AE46" s="155">
        <v>2</v>
      </c>
      <c r="AF46" s="162">
        <f>IF(ISBLANK(tblRisk[[#This Row],[Impact to Mission]]),"",MAX(tblRisk[[#This Row],[Impact to Mission]:[Impact to Obligations]]))</f>
        <v>2</v>
      </c>
      <c r="AG46" s="163">
        <f>IF(ISERROR(tblRisk[[#This Row],[Impact Score]]*tblRisk[[#This Row],[Likelihood Score]]),"",tblRisk[[#This Row],[Likelihood Score]]*tblRisk[[#This Row],[Impact Score]])</f>
        <v>4</v>
      </c>
      <c r="AH46" s="163">
        <f>tblRisk[[#This Row],[Risk Score]]</f>
        <v>4</v>
      </c>
      <c r="AI46" s="164">
        <f t="shared" si="2"/>
        <v>9</v>
      </c>
      <c r="AJ46" s="164">
        <f>IF(tblRisk[[#This Row],[Safeguard Status]]="In Place",tblRisk[[#This Row],[Control Maturity after SG]],tblRisk[[#This Row],[Control Maturity]])</f>
        <v>4</v>
      </c>
      <c r="AK46" s="173" t="str">
        <f>IF(tblRisk[[#This Row],[Safeguard Status]]="In Place",tblRisk[[#This Row],[Safeguard Threat Cluster]],tblRisk[[#This Row],[Threat Cluster]])</f>
        <v>Hacking System</v>
      </c>
      <c r="AL46" s="164">
        <f>IF(tblRisk[[#This Row],[Safeguard Status]]="In Place",tblRisk[[#This Row],[Risk Level With Safeguard in Place]],tblRisk[[#This Row],[Risk Level]])</f>
        <v>4</v>
      </c>
      <c r="AM46" s="165" t="s">
        <v>1887</v>
      </c>
      <c r="AN46" s="165" t="str">
        <f>IF(tblRisk[[#This Row],[Risk Treatment Option]]="Manage",_xlfn.IFNA(INDEX(tblRiskTreatmentPrograms[#Data],MATCH(tblRisk[[#This Row],[Common Security Program]]&amp;tblRisk[[#This Row],[Common Security Control]],tblRiskTreatmentPrograms[Lookup],0),MATCH($AN$3,tblRiskTreatmentPrograms[#Headers],0)),txtBadRTP),"")</f>
        <v/>
      </c>
      <c r="AO46" s="165" t="str">
        <f>IF(tblRisk[[#This Row],[Risk Treatment Program]]="","",INDEX(tblRiskTreatmentPrograms[#Data],MATCH(tblRisk[[#This Row],[Risk Treatment Program]],tblRiskTreatmentPrograms[Risk Treatment Program],0),MATCH($AO$3,tblRiskTreatmentPrograms[#Headers],0)))</f>
        <v/>
      </c>
      <c r="AP46" s="165"/>
      <c r="AQ4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6" s="19" t="str">
        <f>tblRisk[[#This Row],[Threat Cluster]]</f>
        <v>Hacking System</v>
      </c>
      <c r="AS46" s="156">
        <f>IF(ISBLANK(tblRisk[[#This Row],[Safeguard Threat Cluster]]),"",_xlfn.XLOOKUP(tblRisk[[#This Row],[Safeguard Threat Cluster]],tblHIT[Threat Cluster],tblHIT[Quintile]))</f>
        <v>2</v>
      </c>
      <c r="AT46" s="157">
        <f>_xlfn.SWITCH(tblRisk[[#This Row],[Risk Treatment Option]],"Manage",tblRisk[[#This Row],[Control Maturity]]+1,tblRisk[[#This Row],[Control Maturity]])</f>
        <v>4</v>
      </c>
      <c r="AU4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6" s="166">
        <f>IF(ISERROR(tblRisk[[#This Row],[Likelihood of Control Failure after SG]]),"",VLOOKUP(tblRisk[[#This Row],[Likelihood of Control Failure after SG]],tblLikelihood[#Data],2,FALSE))</f>
        <v>2</v>
      </c>
      <c r="AW46" s="159">
        <f>tblRisk[[#This Row],[Impact to Mission]]</f>
        <v>2</v>
      </c>
      <c r="AX46" s="159">
        <f>tblRisk[[#This Row],[Impact to Objectives]]</f>
        <v>2</v>
      </c>
      <c r="AY46" s="159">
        <f>tblRisk[[#This Row],[Impact to Obligations]]</f>
        <v>2</v>
      </c>
      <c r="AZ46" s="166">
        <f>IF(ISBLANK(tblRisk[[#This Row],[Impact to Mission With Safeguard in Place]]),"",MAX(tblRisk[[#This Row],[Impact to Mission With Safeguard in Place]:[Impact to Obligations With Safeguard in Place]]))</f>
        <v>2</v>
      </c>
      <c r="BA46" s="167">
        <f>IF(ISERROR(tblRisk[[#This Row],[Impact Score with Safeguard in Place]]*tblRisk[[#This Row],[Likelihood Score with Safeguard in Place]]),"",tblRisk[[#This Row],[Impact Score with Safeguard in Place]]*tblRisk[[#This Row],[Likelihood Score with Safeguard in Place]])</f>
        <v>4</v>
      </c>
      <c r="BB46" s="164">
        <f>tblRisk[[#This Row],[Risk Score With Safeguard in Place]]</f>
        <v>4</v>
      </c>
      <c r="BC46" s="168" t="str">
        <f>IF(tblRisk[[#This Row],[Risk Treatment Option]]&lt;&gt;"Accept",IF(_xlfn.XLOOKUP(tblRisk[[#This Row],[Specific Safeguard Recommendation]],ProTrak[Task],ProTrak[Status],"Not Found")="Completed","Pending Validation","Pending"),"")</f>
        <v/>
      </c>
      <c r="BD46" s="169" t="str">
        <f>_xlfn.XLOOKUP(tblRisk[[#This Row],[Risk Treatment Program]],tblRiskTreatmentPrograms[Risk Treatment Program],tblRiskTreatmentPrograms[Estimated End Date (MM/DD/YYYY)],"")</f>
        <v/>
      </c>
      <c r="BE46" s="170"/>
      <c r="BF46" s="171" t="str">
        <f>_xlfn.IFNA(IF(tblRisk[[#This Row],[Due Date]]&lt;=vWhatIfQuarter,"Closed",""),"")</f>
        <v/>
      </c>
      <c r="BG46" s="171">
        <f>IF(tblRisk[[#This Row],[Scenario Builder Status]]="Closed",tblRisk[[#This Row],[Risk Score With Safeguard in Place]],tblRisk[[#This Row],[Risk Score]])</f>
        <v>4</v>
      </c>
      <c r="BH46" s="192" t="str">
        <f>tblRisk[[#This Row],[Common Security Program]]&amp;tblRisk[[#This Row],[Common Security Control]]&amp;tblRisk[[#This Row],[Asset Designation ]]</f>
        <v>Credential ManagementGovernanceUsers</v>
      </c>
      <c r="BI46" s="191"/>
      <c r="BJ46" s="191"/>
      <c r="BK46" s="191"/>
      <c r="BL46" s="191"/>
      <c r="BM46" s="191" t="s">
        <v>117</v>
      </c>
      <c r="BN46" s="191"/>
      <c r="BO46" s="191" t="s">
        <v>117</v>
      </c>
      <c r="BP46" s="191" t="s">
        <v>117</v>
      </c>
      <c r="BQ46" s="191"/>
    </row>
    <row r="47" spans="1:69" ht="47.25" x14ac:dyDescent="0.65">
      <c r="A47" s="160">
        <v>44</v>
      </c>
      <c r="B47" s="160" t="s">
        <v>899</v>
      </c>
      <c r="C47" s="19" t="s">
        <v>934</v>
      </c>
      <c r="D47" s="28" t="s">
        <v>1165</v>
      </c>
      <c r="E47" s="207" t="s">
        <v>1092</v>
      </c>
      <c r="F47" s="194"/>
      <c r="G47" s="194" t="s">
        <v>117</v>
      </c>
      <c r="H47" s="194" t="s">
        <v>117</v>
      </c>
      <c r="I47" s="194" t="s">
        <v>1080</v>
      </c>
      <c r="J47" s="194" t="s">
        <v>1080</v>
      </c>
      <c r="K47" s="194" t="s">
        <v>1080</v>
      </c>
      <c r="L47" s="194" t="s">
        <v>1080</v>
      </c>
      <c r="M47" s="194" t="s">
        <v>1080</v>
      </c>
      <c r="N47" s="194">
        <f>COUNTIF(tblRisk[[#This Row],[Defends Against Malware]:[Defends Against Targeted Intrusions]],"Yes")</f>
        <v>0</v>
      </c>
      <c r="O47" s="160" t="s">
        <v>19</v>
      </c>
      <c r="P47" s="160" t="s">
        <v>88</v>
      </c>
      <c r="Q47" s="160" t="s">
        <v>34</v>
      </c>
      <c r="R47" s="160" t="s">
        <v>1086</v>
      </c>
      <c r="S47" s="160" t="s">
        <v>1087</v>
      </c>
      <c r="T47" s="160" t="s">
        <v>1421</v>
      </c>
      <c r="U47" s="160" t="s">
        <v>1420</v>
      </c>
      <c r="V47" s="160" t="s">
        <v>1588</v>
      </c>
      <c r="W47" s="160" t="s">
        <v>1709</v>
      </c>
      <c r="X47" s="160" t="s">
        <v>1757</v>
      </c>
      <c r="Y47" s="151">
        <f>IF(ISBLANK(tblRisk[[#This Row],[Threat Cluster]]),"",_xlfn.XLOOKUP(tblRisk[[#This Row],[Threat Cluster]],tblHIT[Threat Cluster],tblHIT[Quintile]))</f>
        <v>2</v>
      </c>
      <c r="Z47" s="152">
        <v>4</v>
      </c>
      <c r="AA47" s="153" t="str">
        <f>IF(OR(ISBLANK(tblRisk[[#This Row],[HIT Quintile]]),ISBLANK(tblRisk[[#This Row],[Control Maturity]])),"",_xlfn.XLOOKUP(tblRisk[[#This Row],[Control Maturity]] &amp; tblRisk[[#This Row],[HIT Quintile]],tblHITWDI[Lookup],tblHITWDI[Likelihood Description]))</f>
        <v>Foreseeable, not expected</v>
      </c>
      <c r="AB47" s="161">
        <f>IF(ISERROR(tblRisk[[#This Row],[Likelihood of Control Failure]]),"",VLOOKUP(tblRisk[[#This Row],[Likelihood of Control Failure]],tblLikelihood[],2,FALSE))</f>
        <v>2</v>
      </c>
      <c r="AC47" s="154">
        <v>2</v>
      </c>
      <c r="AD47" s="155">
        <v>2</v>
      </c>
      <c r="AE47" s="155">
        <v>2</v>
      </c>
      <c r="AF47" s="162">
        <f>IF(ISBLANK(tblRisk[[#This Row],[Impact to Mission]]),"",MAX(tblRisk[[#This Row],[Impact to Mission]:[Impact to Obligations]]))</f>
        <v>2</v>
      </c>
      <c r="AG47" s="163">
        <f>IF(ISERROR(tblRisk[[#This Row],[Impact Score]]*tblRisk[[#This Row],[Likelihood Score]]),"",tblRisk[[#This Row],[Likelihood Score]]*tblRisk[[#This Row],[Impact Score]])</f>
        <v>4</v>
      </c>
      <c r="AH47" s="163">
        <f>tblRisk[[#This Row],[Risk Score]]</f>
        <v>4</v>
      </c>
      <c r="AI47" s="164">
        <f t="shared" si="2"/>
        <v>9</v>
      </c>
      <c r="AJ47" s="164">
        <f>IF(tblRisk[[#This Row],[Safeguard Status]]="In Place",tblRisk[[#This Row],[Control Maturity after SG]],tblRisk[[#This Row],[Control Maturity]])</f>
        <v>4</v>
      </c>
      <c r="AK47" s="173" t="str">
        <f>IF(tblRisk[[#This Row],[Safeguard Status]]="In Place",tblRisk[[#This Row],[Safeguard Threat Cluster]],tblRisk[[#This Row],[Threat Cluster]])</f>
        <v>Personnel Misuse</v>
      </c>
      <c r="AL47" s="164">
        <f>IF(tblRisk[[#This Row],[Safeguard Status]]="In Place",tblRisk[[#This Row],[Risk Level With Safeguard in Place]],tblRisk[[#This Row],[Risk Level]])</f>
        <v>4</v>
      </c>
      <c r="AM47" s="165" t="s">
        <v>1887</v>
      </c>
      <c r="AN47" s="165" t="str">
        <f>IF(tblRisk[[#This Row],[Risk Treatment Option]]="Manage",_xlfn.IFNA(INDEX(tblRiskTreatmentPrograms[#Data],MATCH(tblRisk[[#This Row],[Common Security Program]]&amp;tblRisk[[#This Row],[Common Security Control]],tblRiskTreatmentPrograms[Lookup],0),MATCH($AN$3,tblRiskTreatmentPrograms[#Headers],0)),txtBadRTP),"")</f>
        <v/>
      </c>
      <c r="AO47" s="165" t="str">
        <f>IF(tblRisk[[#This Row],[Risk Treatment Program]]="","",INDEX(tblRiskTreatmentPrograms[#Data],MATCH(tblRisk[[#This Row],[Risk Treatment Program]],tblRiskTreatmentPrograms[Risk Treatment Program],0),MATCH($AO$3,tblRiskTreatmentPrograms[#Headers],0)))</f>
        <v/>
      </c>
      <c r="AP47" s="165"/>
      <c r="AQ4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7" s="19" t="str">
        <f>tblRisk[[#This Row],[Threat Cluster]]</f>
        <v>Personnel Misuse</v>
      </c>
      <c r="AS47" s="156">
        <f>IF(ISBLANK(tblRisk[[#This Row],[Safeguard Threat Cluster]]),"",_xlfn.XLOOKUP(tblRisk[[#This Row],[Safeguard Threat Cluster]],tblHIT[Threat Cluster],tblHIT[Quintile]))</f>
        <v>2</v>
      </c>
      <c r="AT47" s="157">
        <f>_xlfn.SWITCH(tblRisk[[#This Row],[Risk Treatment Option]],"Manage",tblRisk[[#This Row],[Control Maturity]]+1,tblRisk[[#This Row],[Control Maturity]])</f>
        <v>4</v>
      </c>
      <c r="AU4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7" s="166">
        <f>IF(ISERROR(tblRisk[[#This Row],[Likelihood of Control Failure after SG]]),"",VLOOKUP(tblRisk[[#This Row],[Likelihood of Control Failure after SG]],tblLikelihood[#Data],2,FALSE))</f>
        <v>2</v>
      </c>
      <c r="AW47" s="159">
        <f>tblRisk[[#This Row],[Impact to Mission]]</f>
        <v>2</v>
      </c>
      <c r="AX47" s="159">
        <f>tblRisk[[#This Row],[Impact to Objectives]]</f>
        <v>2</v>
      </c>
      <c r="AY47" s="159">
        <f>tblRisk[[#This Row],[Impact to Obligations]]</f>
        <v>2</v>
      </c>
      <c r="AZ47" s="166">
        <f>IF(ISBLANK(tblRisk[[#This Row],[Impact to Mission With Safeguard in Place]]),"",MAX(tblRisk[[#This Row],[Impact to Mission With Safeguard in Place]:[Impact to Obligations With Safeguard in Place]]))</f>
        <v>2</v>
      </c>
      <c r="BA47" s="167">
        <f>IF(ISERROR(tblRisk[[#This Row],[Impact Score with Safeguard in Place]]*tblRisk[[#This Row],[Likelihood Score with Safeguard in Place]]),"",tblRisk[[#This Row],[Impact Score with Safeguard in Place]]*tblRisk[[#This Row],[Likelihood Score with Safeguard in Place]])</f>
        <v>4</v>
      </c>
      <c r="BB47" s="164">
        <f>tblRisk[[#This Row],[Risk Score With Safeguard in Place]]</f>
        <v>4</v>
      </c>
      <c r="BC47" s="168" t="str">
        <f>IF(tblRisk[[#This Row],[Risk Treatment Option]]&lt;&gt;"Accept",IF(_xlfn.XLOOKUP(tblRisk[[#This Row],[Specific Safeguard Recommendation]],ProTrak[Task],ProTrak[Status],"Not Found")="Completed","Pending Validation","Pending"),"")</f>
        <v/>
      </c>
      <c r="BD47" s="169" t="str">
        <f>_xlfn.XLOOKUP(tblRisk[[#This Row],[Risk Treatment Program]],tblRiskTreatmentPrograms[Risk Treatment Program],tblRiskTreatmentPrograms[Estimated End Date (MM/DD/YYYY)],"")</f>
        <v/>
      </c>
      <c r="BE47" s="170"/>
      <c r="BF47" s="171" t="str">
        <f>_xlfn.IFNA(IF(tblRisk[[#This Row],[Due Date]]&lt;=vWhatIfQuarter,"Closed",""),"")</f>
        <v/>
      </c>
      <c r="BG47" s="171">
        <f>IF(tblRisk[[#This Row],[Scenario Builder Status]]="Closed",tblRisk[[#This Row],[Risk Score With Safeguard in Place]],tblRisk[[#This Row],[Risk Score]])</f>
        <v>4</v>
      </c>
      <c r="BH47" s="192" t="str">
        <f>tblRisk[[#This Row],[Common Security Program]]&amp;tblRisk[[#This Row],[Common Security Control]]&amp;tblRisk[[#This Row],[Asset Designation ]]</f>
        <v>Credential ManagementOperationUsers</v>
      </c>
      <c r="BI47" s="191"/>
      <c r="BJ47" s="191"/>
      <c r="BK47" s="191"/>
      <c r="BL47" s="191"/>
      <c r="BM47" s="191"/>
      <c r="BN47" s="191"/>
      <c r="BO47" s="191"/>
      <c r="BP47" s="191"/>
      <c r="BQ47" s="191"/>
    </row>
    <row r="48" spans="1:69" ht="78.75" x14ac:dyDescent="0.65">
      <c r="A48" s="160">
        <v>45</v>
      </c>
      <c r="B48" s="160" t="s">
        <v>899</v>
      </c>
      <c r="C48" s="19" t="s">
        <v>1025</v>
      </c>
      <c r="D48" s="28" t="s">
        <v>1166</v>
      </c>
      <c r="E48" s="207" t="s">
        <v>1094</v>
      </c>
      <c r="F48" s="194" t="s">
        <v>117</v>
      </c>
      <c r="G48" s="194" t="s">
        <v>117</v>
      </c>
      <c r="H48" s="194" t="s">
        <v>117</v>
      </c>
      <c r="I48" s="194" t="s">
        <v>1081</v>
      </c>
      <c r="J48" s="194" t="s">
        <v>1081</v>
      </c>
      <c r="K48" s="194" t="s">
        <v>1081</v>
      </c>
      <c r="L48" s="194" t="s">
        <v>1081</v>
      </c>
      <c r="M48" s="194" t="s">
        <v>1081</v>
      </c>
      <c r="N48" s="194">
        <f>COUNTIF(tblRisk[[#This Row],[Defends Against Malware]:[Defends Against Targeted Intrusions]],"Yes")</f>
        <v>5</v>
      </c>
      <c r="O48" s="160" t="s">
        <v>18</v>
      </c>
      <c r="P48" s="160" t="s">
        <v>86</v>
      </c>
      <c r="Q48" s="160" t="s">
        <v>34</v>
      </c>
      <c r="R48" s="160" t="s">
        <v>1086</v>
      </c>
      <c r="S48" s="160" t="s">
        <v>1087</v>
      </c>
      <c r="T48" s="160" t="s">
        <v>1414</v>
      </c>
      <c r="U48" s="160" t="s">
        <v>1415</v>
      </c>
      <c r="V48" s="160" t="s">
        <v>1589</v>
      </c>
      <c r="W48" s="160" t="s">
        <v>1709</v>
      </c>
      <c r="X48" s="160" t="s">
        <v>1758</v>
      </c>
      <c r="Y48" s="151">
        <f>IF(ISBLANK(tblRisk[[#This Row],[Threat Cluster]]),"",_xlfn.XLOOKUP(tblRisk[[#This Row],[Threat Cluster]],tblHIT[Threat Cluster],tblHIT[Quintile]))</f>
        <v>2</v>
      </c>
      <c r="Z48" s="152">
        <v>4</v>
      </c>
      <c r="AA48" s="153" t="str">
        <f>IF(OR(ISBLANK(tblRisk[[#This Row],[HIT Quintile]]),ISBLANK(tblRisk[[#This Row],[Control Maturity]])),"",_xlfn.XLOOKUP(tblRisk[[#This Row],[Control Maturity]] &amp; tblRisk[[#This Row],[HIT Quintile]],tblHITWDI[Lookup],tblHITWDI[Likelihood Description]))</f>
        <v>Foreseeable, not expected</v>
      </c>
      <c r="AB48" s="161">
        <f>IF(ISERROR(tblRisk[[#This Row],[Likelihood of Control Failure]]),"",VLOOKUP(tblRisk[[#This Row],[Likelihood of Control Failure]],tblLikelihood[],2,FALSE))</f>
        <v>2</v>
      </c>
      <c r="AC48" s="154">
        <v>2</v>
      </c>
      <c r="AD48" s="155">
        <v>2</v>
      </c>
      <c r="AE48" s="155">
        <v>2</v>
      </c>
      <c r="AF48" s="162">
        <f>IF(ISBLANK(tblRisk[[#This Row],[Impact to Mission]]),"",MAX(tblRisk[[#This Row],[Impact to Mission]:[Impact to Obligations]]))</f>
        <v>2</v>
      </c>
      <c r="AG48" s="163">
        <f>IF(ISERROR(tblRisk[[#This Row],[Impact Score]]*tblRisk[[#This Row],[Likelihood Score]]),"",tblRisk[[#This Row],[Likelihood Score]]*tblRisk[[#This Row],[Impact Score]])</f>
        <v>4</v>
      </c>
      <c r="AH48" s="163">
        <f>tblRisk[[#This Row],[Risk Score]]</f>
        <v>4</v>
      </c>
      <c r="AI48" s="164">
        <f t="shared" si="2"/>
        <v>9</v>
      </c>
      <c r="AJ48" s="164">
        <f>IF(tblRisk[[#This Row],[Safeguard Status]]="In Place",tblRisk[[#This Row],[Control Maturity after SG]],tblRisk[[#This Row],[Control Maturity]])</f>
        <v>4</v>
      </c>
      <c r="AK48" s="173" t="str">
        <f>IF(tblRisk[[#This Row],[Safeguard Status]]="In Place",tblRisk[[#This Row],[Safeguard Threat Cluster]],tblRisk[[#This Row],[Threat Cluster]])</f>
        <v>Personnel Misuse</v>
      </c>
      <c r="AL48" s="164">
        <f>IF(tblRisk[[#This Row],[Safeguard Status]]="In Place",tblRisk[[#This Row],[Risk Level With Safeguard in Place]],tblRisk[[#This Row],[Risk Level]])</f>
        <v>4</v>
      </c>
      <c r="AM48" s="165" t="s">
        <v>1887</v>
      </c>
      <c r="AN48" s="165" t="str">
        <f>IF(tblRisk[[#This Row],[Risk Treatment Option]]="Manage",_xlfn.IFNA(INDEX(tblRiskTreatmentPrograms[#Data],MATCH(tblRisk[[#This Row],[Common Security Program]]&amp;tblRisk[[#This Row],[Common Security Control]],tblRiskTreatmentPrograms[Lookup],0),MATCH($AN$3,tblRiskTreatmentPrograms[#Headers],0)),txtBadRTP),"")</f>
        <v/>
      </c>
      <c r="AO48" s="165" t="str">
        <f>IF(tblRisk[[#This Row],[Risk Treatment Program]]="","",INDEX(tblRiskTreatmentPrograms[#Data],MATCH(tblRisk[[#This Row],[Risk Treatment Program]],tblRiskTreatmentPrograms[Risk Treatment Program],0),MATCH($AO$3,tblRiskTreatmentPrograms[#Headers],0)))</f>
        <v/>
      </c>
      <c r="AP48" s="165"/>
      <c r="AQ4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8" s="19" t="str">
        <f>tblRisk[[#This Row],[Threat Cluster]]</f>
        <v>Personnel Misuse</v>
      </c>
      <c r="AS48" s="156">
        <f>IF(ISBLANK(tblRisk[[#This Row],[Safeguard Threat Cluster]]),"",_xlfn.XLOOKUP(tblRisk[[#This Row],[Safeguard Threat Cluster]],tblHIT[Threat Cluster],tblHIT[Quintile]))</f>
        <v>2</v>
      </c>
      <c r="AT48" s="157">
        <f>_xlfn.SWITCH(tblRisk[[#This Row],[Risk Treatment Option]],"Manage",tblRisk[[#This Row],[Control Maturity]]+1,tblRisk[[#This Row],[Control Maturity]])</f>
        <v>4</v>
      </c>
      <c r="AU4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48" s="166">
        <f>IF(ISERROR(tblRisk[[#This Row],[Likelihood of Control Failure after SG]]),"",VLOOKUP(tblRisk[[#This Row],[Likelihood of Control Failure after SG]],tblLikelihood[#Data],2,FALSE))</f>
        <v>2</v>
      </c>
      <c r="AW48" s="159">
        <f>tblRisk[[#This Row],[Impact to Mission]]</f>
        <v>2</v>
      </c>
      <c r="AX48" s="159">
        <f>tblRisk[[#This Row],[Impact to Objectives]]</f>
        <v>2</v>
      </c>
      <c r="AY48" s="159">
        <f>tblRisk[[#This Row],[Impact to Obligations]]</f>
        <v>2</v>
      </c>
      <c r="AZ48" s="166">
        <f>IF(ISBLANK(tblRisk[[#This Row],[Impact to Mission With Safeguard in Place]]),"",MAX(tblRisk[[#This Row],[Impact to Mission With Safeguard in Place]:[Impact to Obligations With Safeguard in Place]]))</f>
        <v>2</v>
      </c>
      <c r="BA48" s="167">
        <f>IF(ISERROR(tblRisk[[#This Row],[Impact Score with Safeguard in Place]]*tblRisk[[#This Row],[Likelihood Score with Safeguard in Place]]),"",tblRisk[[#This Row],[Impact Score with Safeguard in Place]]*tblRisk[[#This Row],[Likelihood Score with Safeguard in Place]])</f>
        <v>4</v>
      </c>
      <c r="BB48" s="164">
        <f>tblRisk[[#This Row],[Risk Score With Safeguard in Place]]</f>
        <v>4</v>
      </c>
      <c r="BC48" s="168" t="str">
        <f>IF(tblRisk[[#This Row],[Risk Treatment Option]]&lt;&gt;"Accept",IF(_xlfn.XLOOKUP(tblRisk[[#This Row],[Specific Safeguard Recommendation]],ProTrak[Task],ProTrak[Status],"Not Found")="Completed","Pending Validation","Pending"),"")</f>
        <v/>
      </c>
      <c r="BD48" s="169" t="str">
        <f>_xlfn.XLOOKUP(tblRisk[[#This Row],[Risk Treatment Program]],tblRiskTreatmentPrograms[Risk Treatment Program],tblRiskTreatmentPrograms[Estimated End Date (MM/DD/YYYY)],"")</f>
        <v/>
      </c>
      <c r="BE48" s="170"/>
      <c r="BF48" s="171" t="str">
        <f>_xlfn.IFNA(IF(tblRisk[[#This Row],[Due Date]]&lt;=vWhatIfQuarter,"Closed",""),"")</f>
        <v/>
      </c>
      <c r="BG48" s="171">
        <f>IF(tblRisk[[#This Row],[Scenario Builder Status]]="Closed",tblRisk[[#This Row],[Risk Score With Safeguard in Place]],tblRisk[[#This Row],[Risk Score]])</f>
        <v>4</v>
      </c>
      <c r="BH48" s="192" t="str">
        <f>tblRisk[[#This Row],[Common Security Program]]&amp;tblRisk[[#This Row],[Common Security Control]]&amp;tblRisk[[#This Row],[Asset Designation ]]</f>
        <v>Access ControlGovernanceUsers</v>
      </c>
      <c r="BI48" s="191"/>
      <c r="BJ48" s="191"/>
      <c r="BK48" s="191"/>
      <c r="BL48" s="191"/>
      <c r="BM48" s="191" t="s">
        <v>117</v>
      </c>
      <c r="BN48" s="191" t="s">
        <v>117</v>
      </c>
      <c r="BO48" s="191" t="s">
        <v>117</v>
      </c>
      <c r="BP48" s="191" t="s">
        <v>117</v>
      </c>
      <c r="BQ48" s="191"/>
    </row>
    <row r="49" spans="1:69" ht="126" x14ac:dyDescent="0.65">
      <c r="A49" s="160">
        <v>46</v>
      </c>
      <c r="B49" s="160" t="s">
        <v>899</v>
      </c>
      <c r="C49" s="19" t="s">
        <v>1026</v>
      </c>
      <c r="D49" s="28" t="s">
        <v>1167</v>
      </c>
      <c r="E49" s="207" t="s">
        <v>1094</v>
      </c>
      <c r="F49" s="194" t="s">
        <v>117</v>
      </c>
      <c r="G49" s="194" t="s">
        <v>117</v>
      </c>
      <c r="H49" s="194" t="s">
        <v>117</v>
      </c>
      <c r="I49" s="194" t="s">
        <v>1081</v>
      </c>
      <c r="J49" s="194" t="s">
        <v>1081</v>
      </c>
      <c r="K49" s="194" t="s">
        <v>1081</v>
      </c>
      <c r="L49" s="194" t="s">
        <v>1081</v>
      </c>
      <c r="M49" s="194" t="s">
        <v>1081</v>
      </c>
      <c r="N49" s="194">
        <f>COUNTIF(tblRisk[[#This Row],[Defends Against Malware]:[Defends Against Targeted Intrusions]],"Yes")</f>
        <v>5</v>
      </c>
      <c r="O49" s="160" t="s">
        <v>18</v>
      </c>
      <c r="P49" s="160" t="s">
        <v>86</v>
      </c>
      <c r="Q49" s="160" t="s">
        <v>34</v>
      </c>
      <c r="R49" s="160" t="s">
        <v>1086</v>
      </c>
      <c r="S49" s="160" t="s">
        <v>1087</v>
      </c>
      <c r="T49" s="160" t="s">
        <v>1414</v>
      </c>
      <c r="U49" s="160" t="s">
        <v>1415</v>
      </c>
      <c r="V49" s="19" t="s">
        <v>1636</v>
      </c>
      <c r="W49" s="160" t="s">
        <v>1759</v>
      </c>
      <c r="X49" s="160" t="s">
        <v>1760</v>
      </c>
      <c r="Y49" s="151">
        <f>IF(ISBLANK(tblRisk[[#This Row],[Threat Cluster]]),"",_xlfn.XLOOKUP(tblRisk[[#This Row],[Threat Cluster]],tblHIT[Threat Cluster],tblHIT[Quintile]))</f>
        <v>2</v>
      </c>
      <c r="Z49" s="152">
        <v>2</v>
      </c>
      <c r="AA49" s="153" t="str">
        <f>IF(OR(ISBLANK(tblRisk[[#This Row],[HIT Quintile]]),ISBLANK(tblRisk[[#This Row],[Control Maturity]])),"",_xlfn.XLOOKUP(tblRisk[[#This Row],[Control Maturity]] &amp; tblRisk[[#This Row],[HIT Quintile]],tblHITWDI[Lookup],tblHITWDI[Likelihood Description]))</f>
        <v>Common</v>
      </c>
      <c r="AB49" s="161">
        <f>IF(ISERROR(tblRisk[[#This Row],[Likelihood of Control Failure]]),"",VLOOKUP(tblRisk[[#This Row],[Likelihood of Control Failure]],tblLikelihood[],2,FALSE))</f>
        <v>4</v>
      </c>
      <c r="AC49" s="154">
        <v>2</v>
      </c>
      <c r="AD49" s="155">
        <v>2</v>
      </c>
      <c r="AE49" s="155">
        <v>2</v>
      </c>
      <c r="AF49" s="162">
        <f>IF(ISBLANK(tblRisk[[#This Row],[Impact to Mission]]),"",MAX(tblRisk[[#This Row],[Impact to Mission]:[Impact to Obligations]]))</f>
        <v>2</v>
      </c>
      <c r="AG49" s="163">
        <f>IF(ISERROR(tblRisk[[#This Row],[Impact Score]]*tblRisk[[#This Row],[Likelihood Score]]),"",tblRisk[[#This Row],[Likelihood Score]]*tblRisk[[#This Row],[Impact Score]])</f>
        <v>8</v>
      </c>
      <c r="AH49" s="163">
        <f>tblRisk[[#This Row],[Risk Score]]</f>
        <v>8</v>
      </c>
      <c r="AI49" s="164">
        <f t="shared" si="2"/>
        <v>9</v>
      </c>
      <c r="AJ49" s="164">
        <f>IF(tblRisk[[#This Row],[Safeguard Status]]="In Place",tblRisk[[#This Row],[Control Maturity after SG]],tblRisk[[#This Row],[Control Maturity]])</f>
        <v>2</v>
      </c>
      <c r="AK49" s="173" t="str">
        <f>IF(tblRisk[[#This Row],[Safeguard Status]]="In Place",tblRisk[[#This Row],[Safeguard Threat Cluster]],tblRisk[[#This Row],[Threat Cluster]])</f>
        <v>Personnel Misuse</v>
      </c>
      <c r="AL49" s="164">
        <f>IF(tblRisk[[#This Row],[Safeguard Status]]="In Place",tblRisk[[#This Row],[Risk Level With Safeguard in Place]],tblRisk[[#This Row],[Risk Level]])</f>
        <v>8</v>
      </c>
      <c r="AM49" s="165" t="s">
        <v>1887</v>
      </c>
      <c r="AN49" s="165" t="str">
        <f>IF(tblRisk[[#This Row],[Risk Treatment Option]]="Manage",_xlfn.IFNA(INDEX(tblRiskTreatmentPrograms[#Data],MATCH(tblRisk[[#This Row],[Common Security Program]]&amp;tblRisk[[#This Row],[Common Security Control]],tblRiskTreatmentPrograms[Lookup],0),MATCH($AN$3,tblRiskTreatmentPrograms[#Headers],0)),txtBadRTP),"")</f>
        <v/>
      </c>
      <c r="AO49" s="165" t="str">
        <f>IF(tblRisk[[#This Row],[Risk Treatment Program]]="","",INDEX(tblRiskTreatmentPrograms[#Data],MATCH(tblRisk[[#This Row],[Risk Treatment Program]],tblRiskTreatmentPrograms[Risk Treatment Program],0),MATCH($AO$3,tblRiskTreatmentPrograms[#Headers],0)))</f>
        <v/>
      </c>
      <c r="AP49" s="165"/>
      <c r="AQ4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49" s="19" t="str">
        <f>tblRisk[[#This Row],[Threat Cluster]]</f>
        <v>Personnel Misuse</v>
      </c>
      <c r="AS49" s="156">
        <f>IF(ISBLANK(tblRisk[[#This Row],[Safeguard Threat Cluster]]),"",_xlfn.XLOOKUP(tblRisk[[#This Row],[Safeguard Threat Cluster]],tblHIT[Threat Cluster],tblHIT[Quintile]))</f>
        <v>2</v>
      </c>
      <c r="AT49" s="157">
        <f>_xlfn.SWITCH(tblRisk[[#This Row],[Risk Treatment Option]],"Manage",tblRisk[[#This Row],[Control Maturity]]+1,tblRisk[[#This Row],[Control Maturity]])</f>
        <v>2</v>
      </c>
      <c r="AU49" s="158" t="str">
        <f>IF(OR(ISBLANK(tblRisk[[#This Row],[Safeguard HIT Quintile]]),ISBLANK(tblRisk[[#This Row],[Control Maturity after SG]])),"",_xlfn.XLOOKUP(tblRisk[[#This Row],[Control Maturity after SG]] &amp;tblRisk[[#This Row],[Safeguard HIT Quintile]],tblHITWDI[Lookup],tblHITWDI[Likelihood Description]))</f>
        <v>Common</v>
      </c>
      <c r="AV49" s="166">
        <f>IF(ISERROR(tblRisk[[#This Row],[Likelihood of Control Failure after SG]]),"",VLOOKUP(tblRisk[[#This Row],[Likelihood of Control Failure after SG]],tblLikelihood[#Data],2,FALSE))</f>
        <v>4</v>
      </c>
      <c r="AW49" s="159">
        <f>tblRisk[[#This Row],[Impact to Mission]]</f>
        <v>2</v>
      </c>
      <c r="AX49" s="159">
        <f>tblRisk[[#This Row],[Impact to Objectives]]</f>
        <v>2</v>
      </c>
      <c r="AY49" s="159">
        <f>tblRisk[[#This Row],[Impact to Obligations]]</f>
        <v>2</v>
      </c>
      <c r="AZ49" s="166">
        <f>IF(ISBLANK(tblRisk[[#This Row],[Impact to Mission With Safeguard in Place]]),"",MAX(tblRisk[[#This Row],[Impact to Mission With Safeguard in Place]:[Impact to Obligations With Safeguard in Place]]))</f>
        <v>2</v>
      </c>
      <c r="BA49" s="167">
        <f>IF(ISERROR(tblRisk[[#This Row],[Impact Score with Safeguard in Place]]*tblRisk[[#This Row],[Likelihood Score with Safeguard in Place]]),"",tblRisk[[#This Row],[Impact Score with Safeguard in Place]]*tblRisk[[#This Row],[Likelihood Score with Safeguard in Place]])</f>
        <v>8</v>
      </c>
      <c r="BB49" s="164">
        <f>tblRisk[[#This Row],[Risk Score With Safeguard in Place]]</f>
        <v>8</v>
      </c>
      <c r="BC49" s="168" t="str">
        <f>IF(tblRisk[[#This Row],[Risk Treatment Option]]&lt;&gt;"Accept",IF(_xlfn.XLOOKUP(tblRisk[[#This Row],[Specific Safeguard Recommendation]],ProTrak[Task],ProTrak[Status],"Not Found")="Completed","Pending Validation","Pending"),"")</f>
        <v/>
      </c>
      <c r="BD49" s="169" t="str">
        <f>_xlfn.XLOOKUP(tblRisk[[#This Row],[Risk Treatment Program]],tblRiskTreatmentPrograms[Risk Treatment Program],tblRiskTreatmentPrograms[Estimated End Date (MM/DD/YYYY)],"")</f>
        <v/>
      </c>
      <c r="BE49" s="170"/>
      <c r="BF49" s="171" t="str">
        <f>_xlfn.IFNA(IF(tblRisk[[#This Row],[Due Date]]&lt;=vWhatIfQuarter,"Closed",""),"")</f>
        <v/>
      </c>
      <c r="BG49" s="171">
        <f>IF(tblRisk[[#This Row],[Scenario Builder Status]]="Closed",tblRisk[[#This Row],[Risk Score With Safeguard in Place]],tblRisk[[#This Row],[Risk Score]])</f>
        <v>8</v>
      </c>
      <c r="BH49" s="192" t="str">
        <f>tblRisk[[#This Row],[Common Security Program]]&amp;tblRisk[[#This Row],[Common Security Control]]&amp;tblRisk[[#This Row],[Asset Designation ]]</f>
        <v>Access ControlGovernanceUsers</v>
      </c>
      <c r="BI49" s="191"/>
      <c r="BJ49" s="191"/>
      <c r="BK49" s="191"/>
      <c r="BL49" s="191"/>
      <c r="BM49" s="191" t="s">
        <v>117</v>
      </c>
      <c r="BN49" s="191" t="s">
        <v>117</v>
      </c>
      <c r="BO49" s="191" t="s">
        <v>117</v>
      </c>
      <c r="BP49" s="191" t="s">
        <v>117</v>
      </c>
      <c r="BQ49" s="191"/>
    </row>
    <row r="50" spans="1:69" ht="63" x14ac:dyDescent="0.65">
      <c r="A50" s="160">
        <v>47</v>
      </c>
      <c r="B50" s="160" t="s">
        <v>899</v>
      </c>
      <c r="C50" s="19" t="s">
        <v>1027</v>
      </c>
      <c r="D50" s="28" t="s">
        <v>1168</v>
      </c>
      <c r="E50" s="207" t="s">
        <v>1094</v>
      </c>
      <c r="F50" s="194" t="s">
        <v>117</v>
      </c>
      <c r="G50" s="194" t="s">
        <v>117</v>
      </c>
      <c r="H50" s="194" t="s">
        <v>117</v>
      </c>
      <c r="I50" s="194" t="s">
        <v>1081</v>
      </c>
      <c r="J50" s="194" t="s">
        <v>1081</v>
      </c>
      <c r="K50" s="194" t="s">
        <v>1081</v>
      </c>
      <c r="L50" s="194" t="s">
        <v>1081</v>
      </c>
      <c r="M50" s="194" t="s">
        <v>1081</v>
      </c>
      <c r="N50" s="194">
        <f>COUNTIF(tblRisk[[#This Row],[Defends Against Malware]:[Defends Against Targeted Intrusions]],"Yes")</f>
        <v>5</v>
      </c>
      <c r="O50" s="160" t="s">
        <v>19</v>
      </c>
      <c r="P50" s="160" t="s">
        <v>86</v>
      </c>
      <c r="Q50" s="160" t="s">
        <v>34</v>
      </c>
      <c r="R50" s="160" t="s">
        <v>1086</v>
      </c>
      <c r="S50" s="160" t="s">
        <v>1087</v>
      </c>
      <c r="T50" s="160" t="s">
        <v>1419</v>
      </c>
      <c r="U50" s="160" t="s">
        <v>1420</v>
      </c>
      <c r="V50" s="19" t="s">
        <v>1638</v>
      </c>
      <c r="W50" s="160" t="s">
        <v>1709</v>
      </c>
      <c r="X50" s="160" t="s">
        <v>1761</v>
      </c>
      <c r="Y50" s="151">
        <f>IF(ISBLANK(tblRisk[[#This Row],[Threat Cluster]]),"",_xlfn.XLOOKUP(tblRisk[[#This Row],[Threat Cluster]],tblHIT[Threat Cluster],tblHIT[Quintile]))</f>
        <v>2</v>
      </c>
      <c r="Z50" s="152">
        <v>5</v>
      </c>
      <c r="AA50" s="153" t="str">
        <f>IF(OR(ISBLANK(tblRisk[[#This Row],[HIT Quintile]]),ISBLANK(tblRisk[[#This Row],[Control Maturity]])),"",_xlfn.XLOOKUP(tblRisk[[#This Row],[Control Maturity]] &amp; tblRisk[[#This Row],[HIT Quintile]],tblHITWDI[Lookup],tblHITWDI[Likelihood Description]))</f>
        <v>Not Foreseeable</v>
      </c>
      <c r="AB50" s="161">
        <f>IF(ISERROR(tblRisk[[#This Row],[Likelihood of Control Failure]]),"",VLOOKUP(tblRisk[[#This Row],[Likelihood of Control Failure]],tblLikelihood[],2,FALSE))</f>
        <v>1</v>
      </c>
      <c r="AC50" s="154">
        <v>2</v>
      </c>
      <c r="AD50" s="155">
        <v>2</v>
      </c>
      <c r="AE50" s="155">
        <v>2</v>
      </c>
      <c r="AF50" s="162">
        <f>IF(ISBLANK(tblRisk[[#This Row],[Impact to Mission]]),"",MAX(tblRisk[[#This Row],[Impact to Mission]:[Impact to Obligations]]))</f>
        <v>2</v>
      </c>
      <c r="AG50" s="163">
        <f>IF(ISERROR(tblRisk[[#This Row],[Impact Score]]*tblRisk[[#This Row],[Likelihood Score]]),"",tblRisk[[#This Row],[Likelihood Score]]*tblRisk[[#This Row],[Impact Score]])</f>
        <v>2</v>
      </c>
      <c r="AH50" s="163">
        <f>tblRisk[[#This Row],[Risk Score]]</f>
        <v>2</v>
      </c>
      <c r="AI50" s="164">
        <f t="shared" si="2"/>
        <v>9</v>
      </c>
      <c r="AJ50" s="164">
        <f>IF(tblRisk[[#This Row],[Safeguard Status]]="In Place",tblRisk[[#This Row],[Control Maturity after SG]],tblRisk[[#This Row],[Control Maturity]])</f>
        <v>5</v>
      </c>
      <c r="AK50" s="173" t="str">
        <f>IF(tblRisk[[#This Row],[Safeguard Status]]="In Place",tblRisk[[#This Row],[Safeguard Threat Cluster]],tblRisk[[#This Row],[Threat Cluster]])</f>
        <v>Personnel Misuse</v>
      </c>
      <c r="AL50" s="164">
        <f>IF(tblRisk[[#This Row],[Safeguard Status]]="In Place",tblRisk[[#This Row],[Risk Level With Safeguard in Place]],tblRisk[[#This Row],[Risk Level]])</f>
        <v>2</v>
      </c>
      <c r="AM50" s="165" t="s">
        <v>1887</v>
      </c>
      <c r="AN50" s="165" t="str">
        <f>IF(tblRisk[[#This Row],[Risk Treatment Option]]="Manage",_xlfn.IFNA(INDEX(tblRiskTreatmentPrograms[#Data],MATCH(tblRisk[[#This Row],[Common Security Program]]&amp;tblRisk[[#This Row],[Common Security Control]],tblRiskTreatmentPrograms[Lookup],0),MATCH($AN$3,tblRiskTreatmentPrograms[#Headers],0)),txtBadRTP),"")</f>
        <v/>
      </c>
      <c r="AO50" s="165" t="str">
        <f>IF(tblRisk[[#This Row],[Risk Treatment Program]]="","",INDEX(tblRiskTreatmentPrograms[#Data],MATCH(tblRisk[[#This Row],[Risk Treatment Program]],tblRiskTreatmentPrograms[Risk Treatment Program],0),MATCH($AO$3,tblRiskTreatmentPrograms[#Headers],0)))</f>
        <v/>
      </c>
      <c r="AP50" s="165"/>
      <c r="AQ5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0" s="19" t="str">
        <f>tblRisk[[#This Row],[Threat Cluster]]</f>
        <v>Personnel Misuse</v>
      </c>
      <c r="AS50" s="156">
        <f>IF(ISBLANK(tblRisk[[#This Row],[Safeguard Threat Cluster]]),"",_xlfn.XLOOKUP(tblRisk[[#This Row],[Safeguard Threat Cluster]],tblHIT[Threat Cluster],tblHIT[Quintile]))</f>
        <v>2</v>
      </c>
      <c r="AT50" s="157">
        <f>_xlfn.SWITCH(tblRisk[[#This Row],[Risk Treatment Option]],"Manage",tblRisk[[#This Row],[Control Maturity]]+1,tblRisk[[#This Row],[Control Maturity]])</f>
        <v>5</v>
      </c>
      <c r="AU50" s="158" t="str">
        <f>IF(OR(ISBLANK(tblRisk[[#This Row],[Safeguard HIT Quintile]]),ISBLANK(tblRisk[[#This Row],[Control Maturity after SG]])),"",_xlfn.XLOOKUP(tblRisk[[#This Row],[Control Maturity after SG]] &amp;tblRisk[[#This Row],[Safeguard HIT Quintile]],tblHITWDI[Lookup],tblHITWDI[Likelihood Description]))</f>
        <v>Not Foreseeable</v>
      </c>
      <c r="AV50" s="166">
        <f>IF(ISERROR(tblRisk[[#This Row],[Likelihood of Control Failure after SG]]),"",VLOOKUP(tblRisk[[#This Row],[Likelihood of Control Failure after SG]],tblLikelihood[#Data],2,FALSE))</f>
        <v>1</v>
      </c>
      <c r="AW50" s="159">
        <f>tblRisk[[#This Row],[Impact to Mission]]</f>
        <v>2</v>
      </c>
      <c r="AX50" s="159">
        <f>tblRisk[[#This Row],[Impact to Objectives]]</f>
        <v>2</v>
      </c>
      <c r="AY50" s="159">
        <f>tblRisk[[#This Row],[Impact to Obligations]]</f>
        <v>2</v>
      </c>
      <c r="AZ50" s="166">
        <f>IF(ISBLANK(tblRisk[[#This Row],[Impact to Mission With Safeguard in Place]]),"",MAX(tblRisk[[#This Row],[Impact to Mission With Safeguard in Place]:[Impact to Obligations With Safeguard in Place]]))</f>
        <v>2</v>
      </c>
      <c r="BA50" s="167">
        <f>IF(ISERROR(tblRisk[[#This Row],[Impact Score with Safeguard in Place]]*tblRisk[[#This Row],[Likelihood Score with Safeguard in Place]]),"",tblRisk[[#This Row],[Impact Score with Safeguard in Place]]*tblRisk[[#This Row],[Likelihood Score with Safeguard in Place]])</f>
        <v>2</v>
      </c>
      <c r="BB50" s="164">
        <f>tblRisk[[#This Row],[Risk Score With Safeguard in Place]]</f>
        <v>2</v>
      </c>
      <c r="BC50" s="168" t="str">
        <f>IF(tblRisk[[#This Row],[Risk Treatment Option]]&lt;&gt;"Accept",IF(_xlfn.XLOOKUP(tblRisk[[#This Row],[Specific Safeguard Recommendation]],ProTrak[Task],ProTrak[Status],"Not Found")="Completed","Pending Validation","Pending"),"")</f>
        <v/>
      </c>
      <c r="BD50" s="169" t="str">
        <f>_xlfn.XLOOKUP(tblRisk[[#This Row],[Risk Treatment Program]],tblRiskTreatmentPrograms[Risk Treatment Program],tblRiskTreatmentPrograms[Estimated End Date (MM/DD/YYYY)],"")</f>
        <v/>
      </c>
      <c r="BE50" s="170"/>
      <c r="BF50" s="171" t="str">
        <f>_xlfn.IFNA(IF(tblRisk[[#This Row],[Due Date]]&lt;=vWhatIfQuarter,"Closed",""),"")</f>
        <v/>
      </c>
      <c r="BG50" s="171">
        <f>IF(tblRisk[[#This Row],[Scenario Builder Status]]="Closed",tblRisk[[#This Row],[Risk Score With Safeguard in Place]],tblRisk[[#This Row],[Risk Score]])</f>
        <v>2</v>
      </c>
      <c r="BH50" s="192" t="str">
        <f>tblRisk[[#This Row],[Common Security Program]]&amp;tblRisk[[#This Row],[Common Security Control]]&amp;tblRisk[[#This Row],[Asset Designation ]]</f>
        <v>Credential ManagementGovernanceUsers</v>
      </c>
      <c r="BI50" s="191"/>
      <c r="BJ50" s="191"/>
      <c r="BK50" s="191"/>
      <c r="BL50" s="191"/>
      <c r="BM50" s="191" t="s">
        <v>117</v>
      </c>
      <c r="BN50" s="191" t="s">
        <v>117</v>
      </c>
      <c r="BO50" s="191" t="s">
        <v>117</v>
      </c>
      <c r="BP50" s="191" t="s">
        <v>117</v>
      </c>
      <c r="BQ50" s="191"/>
    </row>
    <row r="51" spans="1:69" ht="63" x14ac:dyDescent="0.65">
      <c r="A51" s="160">
        <v>48</v>
      </c>
      <c r="B51" s="160" t="s">
        <v>899</v>
      </c>
      <c r="C51" s="19" t="s">
        <v>1028</v>
      </c>
      <c r="D51" s="28" t="s">
        <v>1169</v>
      </c>
      <c r="E51" s="207" t="s">
        <v>1094</v>
      </c>
      <c r="F51" s="194" t="s">
        <v>117</v>
      </c>
      <c r="G51" s="194" t="s">
        <v>117</v>
      </c>
      <c r="H51" s="194" t="s">
        <v>117</v>
      </c>
      <c r="I51" s="194" t="s">
        <v>1081</v>
      </c>
      <c r="J51" s="194" t="s">
        <v>1081</v>
      </c>
      <c r="K51" s="194" t="s">
        <v>1081</v>
      </c>
      <c r="L51" s="194" t="s">
        <v>1081</v>
      </c>
      <c r="M51" s="194" t="s">
        <v>1081</v>
      </c>
      <c r="N51" s="194">
        <f>COUNTIF(tblRisk[[#This Row],[Defends Against Malware]:[Defends Against Targeted Intrusions]],"Yes")</f>
        <v>5</v>
      </c>
      <c r="O51" s="160" t="s">
        <v>19</v>
      </c>
      <c r="P51" s="160" t="s">
        <v>86</v>
      </c>
      <c r="Q51" s="160" t="s">
        <v>34</v>
      </c>
      <c r="R51" s="160" t="s">
        <v>1086</v>
      </c>
      <c r="S51" s="160" t="s">
        <v>1087</v>
      </c>
      <c r="T51" s="160" t="s">
        <v>1419</v>
      </c>
      <c r="U51" s="160" t="s">
        <v>1420</v>
      </c>
      <c r="V51" s="19" t="s">
        <v>1639</v>
      </c>
      <c r="W51" s="160" t="s">
        <v>1709</v>
      </c>
      <c r="X51" s="160" t="s">
        <v>1762</v>
      </c>
      <c r="Y51" s="151">
        <f>IF(ISBLANK(tblRisk[[#This Row],[Threat Cluster]]),"",_xlfn.XLOOKUP(tblRisk[[#This Row],[Threat Cluster]],tblHIT[Threat Cluster],tblHIT[Quintile]))</f>
        <v>2</v>
      </c>
      <c r="Z51" s="152">
        <v>5</v>
      </c>
      <c r="AA51" s="153" t="str">
        <f>IF(OR(ISBLANK(tblRisk[[#This Row],[HIT Quintile]]),ISBLANK(tblRisk[[#This Row],[Control Maturity]])),"",_xlfn.XLOOKUP(tblRisk[[#This Row],[Control Maturity]] &amp; tblRisk[[#This Row],[HIT Quintile]],tblHITWDI[Lookup],tblHITWDI[Likelihood Description]))</f>
        <v>Not Foreseeable</v>
      </c>
      <c r="AB51" s="161">
        <f>IF(ISERROR(tblRisk[[#This Row],[Likelihood of Control Failure]]),"",VLOOKUP(tblRisk[[#This Row],[Likelihood of Control Failure]],tblLikelihood[],2,FALSE))</f>
        <v>1</v>
      </c>
      <c r="AC51" s="154">
        <v>2</v>
      </c>
      <c r="AD51" s="155">
        <v>2</v>
      </c>
      <c r="AE51" s="155">
        <v>2</v>
      </c>
      <c r="AF51" s="162">
        <f>IF(ISBLANK(tblRisk[[#This Row],[Impact to Mission]]),"",MAX(tblRisk[[#This Row],[Impact to Mission]:[Impact to Obligations]]))</f>
        <v>2</v>
      </c>
      <c r="AG51" s="163">
        <f>IF(ISERROR(tblRisk[[#This Row],[Impact Score]]*tblRisk[[#This Row],[Likelihood Score]]),"",tblRisk[[#This Row],[Likelihood Score]]*tblRisk[[#This Row],[Impact Score]])</f>
        <v>2</v>
      </c>
      <c r="AH51" s="163">
        <f>tblRisk[[#This Row],[Risk Score]]</f>
        <v>2</v>
      </c>
      <c r="AI51" s="164">
        <f t="shared" si="2"/>
        <v>9</v>
      </c>
      <c r="AJ51" s="164">
        <f>IF(tblRisk[[#This Row],[Safeguard Status]]="In Place",tblRisk[[#This Row],[Control Maturity after SG]],tblRisk[[#This Row],[Control Maturity]])</f>
        <v>5</v>
      </c>
      <c r="AK51" s="173" t="str">
        <f>IF(tblRisk[[#This Row],[Safeguard Status]]="In Place",tblRisk[[#This Row],[Safeguard Threat Cluster]],tblRisk[[#This Row],[Threat Cluster]])</f>
        <v>Personnel Misuse</v>
      </c>
      <c r="AL51" s="164">
        <f>IF(tblRisk[[#This Row],[Safeguard Status]]="In Place",tblRisk[[#This Row],[Risk Level With Safeguard in Place]],tblRisk[[#This Row],[Risk Level]])</f>
        <v>2</v>
      </c>
      <c r="AM51" s="165" t="s">
        <v>1887</v>
      </c>
      <c r="AN51" s="165" t="str">
        <f>IF(tblRisk[[#This Row],[Risk Treatment Option]]="Manage",_xlfn.IFNA(INDEX(tblRiskTreatmentPrograms[#Data],MATCH(tblRisk[[#This Row],[Common Security Program]]&amp;tblRisk[[#This Row],[Common Security Control]],tblRiskTreatmentPrograms[Lookup],0),MATCH($AN$3,tblRiskTreatmentPrograms[#Headers],0)),txtBadRTP),"")</f>
        <v/>
      </c>
      <c r="AO51" s="165" t="str">
        <f>IF(tblRisk[[#This Row],[Risk Treatment Program]]="","",INDEX(tblRiskTreatmentPrograms[#Data],MATCH(tblRisk[[#This Row],[Risk Treatment Program]],tblRiskTreatmentPrograms[Risk Treatment Program],0),MATCH($AO$3,tblRiskTreatmentPrograms[#Headers],0)))</f>
        <v/>
      </c>
      <c r="AP51" s="165"/>
      <c r="AQ5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1" s="19" t="str">
        <f>tblRisk[[#This Row],[Threat Cluster]]</f>
        <v>Personnel Misuse</v>
      </c>
      <c r="AS51" s="156">
        <f>IF(ISBLANK(tblRisk[[#This Row],[Safeguard Threat Cluster]]),"",_xlfn.XLOOKUP(tblRisk[[#This Row],[Safeguard Threat Cluster]],tblHIT[Threat Cluster],tblHIT[Quintile]))</f>
        <v>2</v>
      </c>
      <c r="AT51" s="157">
        <f>_xlfn.SWITCH(tblRisk[[#This Row],[Risk Treatment Option]],"Manage",tblRisk[[#This Row],[Control Maturity]]+1,tblRisk[[#This Row],[Control Maturity]])</f>
        <v>5</v>
      </c>
      <c r="AU51" s="158" t="str">
        <f>IF(OR(ISBLANK(tblRisk[[#This Row],[Safeguard HIT Quintile]]),ISBLANK(tblRisk[[#This Row],[Control Maturity after SG]])),"",_xlfn.XLOOKUP(tblRisk[[#This Row],[Control Maturity after SG]] &amp;tblRisk[[#This Row],[Safeguard HIT Quintile]],tblHITWDI[Lookup],tblHITWDI[Likelihood Description]))</f>
        <v>Not Foreseeable</v>
      </c>
      <c r="AV51" s="166">
        <f>IF(ISERROR(tblRisk[[#This Row],[Likelihood of Control Failure after SG]]),"",VLOOKUP(tblRisk[[#This Row],[Likelihood of Control Failure after SG]],tblLikelihood[#Data],2,FALSE))</f>
        <v>1</v>
      </c>
      <c r="AW51" s="159">
        <f>tblRisk[[#This Row],[Impact to Mission]]</f>
        <v>2</v>
      </c>
      <c r="AX51" s="159">
        <f>tblRisk[[#This Row],[Impact to Objectives]]</f>
        <v>2</v>
      </c>
      <c r="AY51" s="159">
        <f>tblRisk[[#This Row],[Impact to Obligations]]</f>
        <v>2</v>
      </c>
      <c r="AZ51" s="166">
        <f>IF(ISBLANK(tblRisk[[#This Row],[Impact to Mission With Safeguard in Place]]),"",MAX(tblRisk[[#This Row],[Impact to Mission With Safeguard in Place]:[Impact to Obligations With Safeguard in Place]]))</f>
        <v>2</v>
      </c>
      <c r="BA51" s="167">
        <f>IF(ISERROR(tblRisk[[#This Row],[Impact Score with Safeguard in Place]]*tblRisk[[#This Row],[Likelihood Score with Safeguard in Place]]),"",tblRisk[[#This Row],[Impact Score with Safeguard in Place]]*tblRisk[[#This Row],[Likelihood Score with Safeguard in Place]])</f>
        <v>2</v>
      </c>
      <c r="BB51" s="164">
        <f>tblRisk[[#This Row],[Risk Score With Safeguard in Place]]</f>
        <v>2</v>
      </c>
      <c r="BC51" s="168" t="str">
        <f>IF(tblRisk[[#This Row],[Risk Treatment Option]]&lt;&gt;"Accept",IF(_xlfn.XLOOKUP(tblRisk[[#This Row],[Specific Safeguard Recommendation]],ProTrak[Task],ProTrak[Status],"Not Found")="Completed","Pending Validation","Pending"),"")</f>
        <v/>
      </c>
      <c r="BD51" s="169" t="str">
        <f>_xlfn.XLOOKUP(tblRisk[[#This Row],[Risk Treatment Program]],tblRiskTreatmentPrograms[Risk Treatment Program],tblRiskTreatmentPrograms[Estimated End Date (MM/DD/YYYY)],"")</f>
        <v/>
      </c>
      <c r="BE51" s="170"/>
      <c r="BF51" s="171" t="str">
        <f>_xlfn.IFNA(IF(tblRisk[[#This Row],[Due Date]]&lt;=vWhatIfQuarter,"Closed",""),"")</f>
        <v/>
      </c>
      <c r="BG51" s="171">
        <f>IF(tblRisk[[#This Row],[Scenario Builder Status]]="Closed",tblRisk[[#This Row],[Risk Score With Safeguard in Place]],tblRisk[[#This Row],[Risk Score]])</f>
        <v>2</v>
      </c>
      <c r="BH51" s="192" t="str">
        <f>tblRisk[[#This Row],[Common Security Program]]&amp;tblRisk[[#This Row],[Common Security Control]]&amp;tblRisk[[#This Row],[Asset Designation ]]</f>
        <v>Credential ManagementGovernanceUsers</v>
      </c>
      <c r="BI51" s="191"/>
      <c r="BJ51" s="191"/>
      <c r="BK51" s="191"/>
      <c r="BL51" s="191"/>
      <c r="BM51" s="191" t="s">
        <v>117</v>
      </c>
      <c r="BN51" s="191" t="s">
        <v>117</v>
      </c>
      <c r="BO51" s="191" t="s">
        <v>117</v>
      </c>
      <c r="BP51" s="191" t="s">
        <v>117</v>
      </c>
      <c r="BQ51" s="191"/>
    </row>
    <row r="52" spans="1:69" ht="47.25" x14ac:dyDescent="0.65">
      <c r="A52" s="160">
        <v>49</v>
      </c>
      <c r="B52" s="160" t="s">
        <v>899</v>
      </c>
      <c r="C52" s="19" t="s">
        <v>1029</v>
      </c>
      <c r="D52" s="28" t="s">
        <v>1170</v>
      </c>
      <c r="E52" s="207" t="s">
        <v>1094</v>
      </c>
      <c r="F52" s="194" t="s">
        <v>117</v>
      </c>
      <c r="G52" s="194" t="s">
        <v>117</v>
      </c>
      <c r="H52" s="194" t="s">
        <v>117</v>
      </c>
      <c r="I52" s="194" t="s">
        <v>1081</v>
      </c>
      <c r="J52" s="194" t="s">
        <v>1081</v>
      </c>
      <c r="K52" s="194" t="s">
        <v>1081</v>
      </c>
      <c r="L52" s="194" t="s">
        <v>1081</v>
      </c>
      <c r="M52" s="194" t="s">
        <v>1081</v>
      </c>
      <c r="N52" s="194">
        <f>COUNTIF(tblRisk[[#This Row],[Defends Against Malware]:[Defends Against Targeted Intrusions]],"Yes")</f>
        <v>5</v>
      </c>
      <c r="O52" s="160" t="s">
        <v>19</v>
      </c>
      <c r="P52" s="160" t="s">
        <v>86</v>
      </c>
      <c r="Q52" s="160" t="s">
        <v>34</v>
      </c>
      <c r="R52" s="160" t="s">
        <v>1086</v>
      </c>
      <c r="S52" s="160" t="s">
        <v>1087</v>
      </c>
      <c r="T52" s="160" t="s">
        <v>1419</v>
      </c>
      <c r="U52" s="160" t="s">
        <v>1420</v>
      </c>
      <c r="V52" s="19" t="s">
        <v>1637</v>
      </c>
      <c r="W52" s="160" t="s">
        <v>1709</v>
      </c>
      <c r="X52" s="160" t="s">
        <v>1763</v>
      </c>
      <c r="Y52" s="151">
        <f>IF(ISBLANK(tblRisk[[#This Row],[Threat Cluster]]),"",_xlfn.XLOOKUP(tblRisk[[#This Row],[Threat Cluster]],tblHIT[Threat Cluster],tblHIT[Quintile]))</f>
        <v>2</v>
      </c>
      <c r="Z52" s="152">
        <v>5</v>
      </c>
      <c r="AA52" s="153" t="str">
        <f>IF(OR(ISBLANK(tblRisk[[#This Row],[HIT Quintile]]),ISBLANK(tblRisk[[#This Row],[Control Maturity]])),"",_xlfn.XLOOKUP(tblRisk[[#This Row],[Control Maturity]] &amp; tblRisk[[#This Row],[HIT Quintile]],tblHITWDI[Lookup],tblHITWDI[Likelihood Description]))</f>
        <v>Not Foreseeable</v>
      </c>
      <c r="AB52" s="161">
        <f>IF(ISERROR(tblRisk[[#This Row],[Likelihood of Control Failure]]),"",VLOOKUP(tblRisk[[#This Row],[Likelihood of Control Failure]],tblLikelihood[],2,FALSE))</f>
        <v>1</v>
      </c>
      <c r="AC52" s="154">
        <v>2</v>
      </c>
      <c r="AD52" s="155">
        <v>2</v>
      </c>
      <c r="AE52" s="155">
        <v>2</v>
      </c>
      <c r="AF52" s="162">
        <f>IF(ISBLANK(tblRisk[[#This Row],[Impact to Mission]]),"",MAX(tblRisk[[#This Row],[Impact to Mission]:[Impact to Obligations]]))</f>
        <v>2</v>
      </c>
      <c r="AG52" s="163">
        <f>IF(ISERROR(tblRisk[[#This Row],[Impact Score]]*tblRisk[[#This Row],[Likelihood Score]]),"",tblRisk[[#This Row],[Likelihood Score]]*tblRisk[[#This Row],[Impact Score]])</f>
        <v>2</v>
      </c>
      <c r="AH52" s="163">
        <f>tblRisk[[#This Row],[Risk Score]]</f>
        <v>2</v>
      </c>
      <c r="AI52" s="164">
        <f t="shared" si="2"/>
        <v>9</v>
      </c>
      <c r="AJ52" s="164">
        <f>IF(tblRisk[[#This Row],[Safeguard Status]]="In Place",tblRisk[[#This Row],[Control Maturity after SG]],tblRisk[[#This Row],[Control Maturity]])</f>
        <v>5</v>
      </c>
      <c r="AK52" s="173" t="str">
        <f>IF(tblRisk[[#This Row],[Safeguard Status]]="In Place",tblRisk[[#This Row],[Safeguard Threat Cluster]],tblRisk[[#This Row],[Threat Cluster]])</f>
        <v>Personnel Misuse</v>
      </c>
      <c r="AL52" s="164">
        <f>IF(tblRisk[[#This Row],[Safeguard Status]]="In Place",tblRisk[[#This Row],[Risk Level With Safeguard in Place]],tblRisk[[#This Row],[Risk Level]])</f>
        <v>2</v>
      </c>
      <c r="AM52" s="165" t="s">
        <v>1887</v>
      </c>
      <c r="AN52" s="165" t="str">
        <f>IF(tblRisk[[#This Row],[Risk Treatment Option]]="Manage",_xlfn.IFNA(INDEX(tblRiskTreatmentPrograms[#Data],MATCH(tblRisk[[#This Row],[Common Security Program]]&amp;tblRisk[[#This Row],[Common Security Control]],tblRiskTreatmentPrograms[Lookup],0),MATCH($AN$3,tblRiskTreatmentPrograms[#Headers],0)),txtBadRTP),"")</f>
        <v/>
      </c>
      <c r="AO52" s="165" t="str">
        <f>IF(tblRisk[[#This Row],[Risk Treatment Program]]="","",INDEX(tblRiskTreatmentPrograms[#Data],MATCH(tblRisk[[#This Row],[Risk Treatment Program]],tblRiskTreatmentPrograms[Risk Treatment Program],0),MATCH($AO$3,tblRiskTreatmentPrograms[#Headers],0)))</f>
        <v/>
      </c>
      <c r="AP52" s="165"/>
      <c r="AQ5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2" s="19" t="str">
        <f>tblRisk[[#This Row],[Threat Cluster]]</f>
        <v>Personnel Misuse</v>
      </c>
      <c r="AS52" s="156">
        <f>IF(ISBLANK(tblRisk[[#This Row],[Safeguard Threat Cluster]]),"",_xlfn.XLOOKUP(tblRisk[[#This Row],[Safeguard Threat Cluster]],tblHIT[Threat Cluster],tblHIT[Quintile]))</f>
        <v>2</v>
      </c>
      <c r="AT52" s="157">
        <f>_xlfn.SWITCH(tblRisk[[#This Row],[Risk Treatment Option]],"Manage",tblRisk[[#This Row],[Control Maturity]]+1,tblRisk[[#This Row],[Control Maturity]])</f>
        <v>5</v>
      </c>
      <c r="AU52" s="158" t="str">
        <f>IF(OR(ISBLANK(tblRisk[[#This Row],[Safeguard HIT Quintile]]),ISBLANK(tblRisk[[#This Row],[Control Maturity after SG]])),"",_xlfn.XLOOKUP(tblRisk[[#This Row],[Control Maturity after SG]] &amp;tblRisk[[#This Row],[Safeguard HIT Quintile]],tblHITWDI[Lookup],tblHITWDI[Likelihood Description]))</f>
        <v>Not Foreseeable</v>
      </c>
      <c r="AV52" s="166">
        <f>IF(ISERROR(tblRisk[[#This Row],[Likelihood of Control Failure after SG]]),"",VLOOKUP(tblRisk[[#This Row],[Likelihood of Control Failure after SG]],tblLikelihood[#Data],2,FALSE))</f>
        <v>1</v>
      </c>
      <c r="AW52" s="159">
        <f>tblRisk[[#This Row],[Impact to Mission]]</f>
        <v>2</v>
      </c>
      <c r="AX52" s="159">
        <f>tblRisk[[#This Row],[Impact to Objectives]]</f>
        <v>2</v>
      </c>
      <c r="AY52" s="159">
        <f>tblRisk[[#This Row],[Impact to Obligations]]</f>
        <v>2</v>
      </c>
      <c r="AZ52" s="166">
        <f>IF(ISBLANK(tblRisk[[#This Row],[Impact to Mission With Safeguard in Place]]),"",MAX(tblRisk[[#This Row],[Impact to Mission With Safeguard in Place]:[Impact to Obligations With Safeguard in Place]]))</f>
        <v>2</v>
      </c>
      <c r="BA52" s="167">
        <f>IF(ISERROR(tblRisk[[#This Row],[Impact Score with Safeguard in Place]]*tblRisk[[#This Row],[Likelihood Score with Safeguard in Place]]),"",tblRisk[[#This Row],[Impact Score with Safeguard in Place]]*tblRisk[[#This Row],[Likelihood Score with Safeguard in Place]])</f>
        <v>2</v>
      </c>
      <c r="BB52" s="164">
        <f>tblRisk[[#This Row],[Risk Score With Safeguard in Place]]</f>
        <v>2</v>
      </c>
      <c r="BC52" s="168" t="str">
        <f>IF(tblRisk[[#This Row],[Risk Treatment Option]]&lt;&gt;"Accept",IF(_xlfn.XLOOKUP(tblRisk[[#This Row],[Specific Safeguard Recommendation]],ProTrak[Task],ProTrak[Status],"Not Found")="Completed","Pending Validation","Pending"),"")</f>
        <v/>
      </c>
      <c r="BD52" s="169" t="str">
        <f>_xlfn.XLOOKUP(tblRisk[[#This Row],[Risk Treatment Program]],tblRiskTreatmentPrograms[Risk Treatment Program],tblRiskTreatmentPrograms[Estimated End Date (MM/DD/YYYY)],"")</f>
        <v/>
      </c>
      <c r="BE52" s="170"/>
      <c r="BF52" s="171" t="str">
        <f>_xlfn.IFNA(IF(tblRisk[[#This Row],[Due Date]]&lt;=vWhatIfQuarter,"Closed",""),"")</f>
        <v/>
      </c>
      <c r="BG52" s="171">
        <f>IF(tblRisk[[#This Row],[Scenario Builder Status]]="Closed",tblRisk[[#This Row],[Risk Score With Safeguard in Place]],tblRisk[[#This Row],[Risk Score]])</f>
        <v>2</v>
      </c>
      <c r="BH52" s="192" t="str">
        <f>tblRisk[[#This Row],[Common Security Program]]&amp;tblRisk[[#This Row],[Common Security Control]]&amp;tblRisk[[#This Row],[Asset Designation ]]</f>
        <v>Credential ManagementGovernanceUsers</v>
      </c>
      <c r="BI52" s="191"/>
      <c r="BJ52" s="191"/>
      <c r="BK52" s="191"/>
      <c r="BL52" s="191"/>
      <c r="BM52" s="191" t="s">
        <v>117</v>
      </c>
      <c r="BN52" s="191" t="s">
        <v>117</v>
      </c>
      <c r="BO52" s="191" t="s">
        <v>117</v>
      </c>
      <c r="BP52" s="191" t="s">
        <v>117</v>
      </c>
      <c r="BQ52" s="191"/>
    </row>
    <row r="53" spans="1:69" ht="110.25" x14ac:dyDescent="0.65">
      <c r="A53" s="160">
        <v>50</v>
      </c>
      <c r="B53" s="160" t="s">
        <v>899</v>
      </c>
      <c r="C53" s="19" t="s">
        <v>1030</v>
      </c>
      <c r="D53" s="28" t="s">
        <v>1171</v>
      </c>
      <c r="E53" s="207" t="s">
        <v>1089</v>
      </c>
      <c r="F53" s="194"/>
      <c r="G53" s="194" t="s">
        <v>117</v>
      </c>
      <c r="H53" s="194" t="s">
        <v>117</v>
      </c>
      <c r="I53" s="194" t="s">
        <v>1080</v>
      </c>
      <c r="J53" s="194" t="s">
        <v>1080</v>
      </c>
      <c r="K53" s="194" t="s">
        <v>1080</v>
      </c>
      <c r="L53" s="194" t="s">
        <v>1080</v>
      </c>
      <c r="M53" s="194" t="s">
        <v>1080</v>
      </c>
      <c r="N53" s="194">
        <f>COUNTIF(tblRisk[[#This Row],[Defends Against Malware]:[Defends Against Targeted Intrusions]],"Yes")</f>
        <v>0</v>
      </c>
      <c r="O53" s="160" t="s">
        <v>18</v>
      </c>
      <c r="P53" s="160" t="s">
        <v>86</v>
      </c>
      <c r="Q53" s="160" t="s">
        <v>34</v>
      </c>
      <c r="R53" s="160" t="s">
        <v>1086</v>
      </c>
      <c r="S53" s="160" t="s">
        <v>1087</v>
      </c>
      <c r="T53" s="160" t="s">
        <v>1414</v>
      </c>
      <c r="U53" s="160" t="s">
        <v>1415</v>
      </c>
      <c r="V53" s="19" t="s">
        <v>1640</v>
      </c>
      <c r="W53" s="160" t="s">
        <v>1709</v>
      </c>
      <c r="X53" s="160" t="s">
        <v>1764</v>
      </c>
      <c r="Y53" s="151">
        <f>IF(ISBLANK(tblRisk[[#This Row],[Threat Cluster]]),"",_xlfn.XLOOKUP(tblRisk[[#This Row],[Threat Cluster]],tblHIT[Threat Cluster],tblHIT[Quintile]))</f>
        <v>2</v>
      </c>
      <c r="Z53" s="152">
        <v>3</v>
      </c>
      <c r="AA53" s="153" t="str">
        <f>IF(OR(ISBLANK(tblRisk[[#This Row],[HIT Quintile]]),ISBLANK(tblRisk[[#This Row],[Control Maturity]])),"",_xlfn.XLOOKUP(tblRisk[[#This Row],[Control Maturity]] &amp; tblRisk[[#This Row],[HIT Quintile]],tblHITWDI[Lookup],tblHITWDI[Likelihood Description]))</f>
        <v>Foreseeable, expected</v>
      </c>
      <c r="AB53" s="161">
        <f>IF(ISERROR(tblRisk[[#This Row],[Likelihood of Control Failure]]),"",VLOOKUP(tblRisk[[#This Row],[Likelihood of Control Failure]],tblLikelihood[],2,FALSE))</f>
        <v>3</v>
      </c>
      <c r="AC53" s="154">
        <v>2</v>
      </c>
      <c r="AD53" s="155">
        <v>2</v>
      </c>
      <c r="AE53" s="155">
        <v>2</v>
      </c>
      <c r="AF53" s="162">
        <f>IF(ISBLANK(tblRisk[[#This Row],[Impact to Mission]]),"",MAX(tblRisk[[#This Row],[Impact to Mission]:[Impact to Obligations]]))</f>
        <v>2</v>
      </c>
      <c r="AG53" s="163">
        <f>IF(ISERROR(tblRisk[[#This Row],[Impact Score]]*tblRisk[[#This Row],[Likelihood Score]]),"",tblRisk[[#This Row],[Likelihood Score]]*tblRisk[[#This Row],[Impact Score]])</f>
        <v>6</v>
      </c>
      <c r="AH53" s="163">
        <f>tblRisk[[#This Row],[Risk Score]]</f>
        <v>6</v>
      </c>
      <c r="AI53" s="164">
        <f t="shared" si="2"/>
        <v>9</v>
      </c>
      <c r="AJ53" s="164">
        <f>IF(tblRisk[[#This Row],[Safeguard Status]]="In Place",tblRisk[[#This Row],[Control Maturity after SG]],tblRisk[[#This Row],[Control Maturity]])</f>
        <v>3</v>
      </c>
      <c r="AK53" s="173" t="str">
        <f>IF(tblRisk[[#This Row],[Safeguard Status]]="In Place",tblRisk[[#This Row],[Safeguard Threat Cluster]],tblRisk[[#This Row],[Threat Cluster]])</f>
        <v>Personnel Misuse</v>
      </c>
      <c r="AL53" s="164">
        <f>IF(tblRisk[[#This Row],[Safeguard Status]]="In Place",tblRisk[[#This Row],[Risk Level With Safeguard in Place]],tblRisk[[#This Row],[Risk Level]])</f>
        <v>6</v>
      </c>
      <c r="AM53" s="165" t="s">
        <v>1887</v>
      </c>
      <c r="AN53" s="165" t="str">
        <f>IF(tblRisk[[#This Row],[Risk Treatment Option]]="Manage",_xlfn.IFNA(INDEX(tblRiskTreatmentPrograms[#Data],MATCH(tblRisk[[#This Row],[Common Security Program]]&amp;tblRisk[[#This Row],[Common Security Control]],tblRiskTreatmentPrograms[Lookup],0),MATCH($AN$3,tblRiskTreatmentPrograms[#Headers],0)),txtBadRTP),"")</f>
        <v/>
      </c>
      <c r="AO53" s="165" t="str">
        <f>IF(tblRisk[[#This Row],[Risk Treatment Program]]="","",INDEX(tblRiskTreatmentPrograms[#Data],MATCH(tblRisk[[#This Row],[Risk Treatment Program]],tblRiskTreatmentPrograms[Risk Treatment Program],0),MATCH($AO$3,tblRiskTreatmentPrograms[#Headers],0)))</f>
        <v/>
      </c>
      <c r="AP53" s="165"/>
      <c r="AQ5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3" s="19" t="str">
        <f>tblRisk[[#This Row],[Threat Cluster]]</f>
        <v>Personnel Misuse</v>
      </c>
      <c r="AS53" s="156">
        <f>IF(ISBLANK(tblRisk[[#This Row],[Safeguard Threat Cluster]]),"",_xlfn.XLOOKUP(tblRisk[[#This Row],[Safeguard Threat Cluster]],tblHIT[Threat Cluster],tblHIT[Quintile]))</f>
        <v>2</v>
      </c>
      <c r="AT53" s="157">
        <f>_xlfn.SWITCH(tblRisk[[#This Row],[Risk Treatment Option]],"Manage",tblRisk[[#This Row],[Control Maturity]]+1,tblRisk[[#This Row],[Control Maturity]])</f>
        <v>3</v>
      </c>
      <c r="AU53" s="158" t="str">
        <f>IF(OR(ISBLANK(tblRisk[[#This Row],[Safeguard HIT Quintile]]),ISBLANK(tblRisk[[#This Row],[Control Maturity after SG]])),"",_xlfn.XLOOKUP(tblRisk[[#This Row],[Control Maturity after SG]] &amp;tblRisk[[#This Row],[Safeguard HIT Quintile]],tblHITWDI[Lookup],tblHITWDI[Likelihood Description]))</f>
        <v>Foreseeable, expected</v>
      </c>
      <c r="AV53" s="166">
        <f>IF(ISERROR(tblRisk[[#This Row],[Likelihood of Control Failure after SG]]),"",VLOOKUP(tblRisk[[#This Row],[Likelihood of Control Failure after SG]],tblLikelihood[#Data],2,FALSE))</f>
        <v>3</v>
      </c>
      <c r="AW53" s="159">
        <f>tblRisk[[#This Row],[Impact to Mission]]</f>
        <v>2</v>
      </c>
      <c r="AX53" s="159">
        <f>tblRisk[[#This Row],[Impact to Objectives]]</f>
        <v>2</v>
      </c>
      <c r="AY53" s="159">
        <f>tblRisk[[#This Row],[Impact to Obligations]]</f>
        <v>2</v>
      </c>
      <c r="AZ53" s="166">
        <f>IF(ISBLANK(tblRisk[[#This Row],[Impact to Mission With Safeguard in Place]]),"",MAX(tblRisk[[#This Row],[Impact to Mission With Safeguard in Place]:[Impact to Obligations With Safeguard in Place]]))</f>
        <v>2</v>
      </c>
      <c r="BA53" s="167">
        <f>IF(ISERROR(tblRisk[[#This Row],[Impact Score with Safeguard in Place]]*tblRisk[[#This Row],[Likelihood Score with Safeguard in Place]]),"",tblRisk[[#This Row],[Impact Score with Safeguard in Place]]*tblRisk[[#This Row],[Likelihood Score with Safeguard in Place]])</f>
        <v>6</v>
      </c>
      <c r="BB53" s="164">
        <f>tblRisk[[#This Row],[Risk Score With Safeguard in Place]]</f>
        <v>6</v>
      </c>
      <c r="BC53" s="168" t="str">
        <f>IF(tblRisk[[#This Row],[Risk Treatment Option]]&lt;&gt;"Accept",IF(_xlfn.XLOOKUP(tblRisk[[#This Row],[Specific Safeguard Recommendation]],ProTrak[Task],ProTrak[Status],"Not Found")="Completed","Pending Validation","Pending"),"")</f>
        <v/>
      </c>
      <c r="BD53" s="169" t="str">
        <f>_xlfn.XLOOKUP(tblRisk[[#This Row],[Risk Treatment Program]],tblRiskTreatmentPrograms[Risk Treatment Program],tblRiskTreatmentPrograms[Estimated End Date (MM/DD/YYYY)],"")</f>
        <v/>
      </c>
      <c r="BE53" s="170"/>
      <c r="BF53" s="171" t="str">
        <f>_xlfn.IFNA(IF(tblRisk[[#This Row],[Due Date]]&lt;=vWhatIfQuarter,"Closed",""),"")</f>
        <v/>
      </c>
      <c r="BG53" s="171">
        <f>IF(tblRisk[[#This Row],[Scenario Builder Status]]="Closed",tblRisk[[#This Row],[Risk Score With Safeguard in Place]],tblRisk[[#This Row],[Risk Score]])</f>
        <v>6</v>
      </c>
      <c r="BH53" s="192" t="str">
        <f>tblRisk[[#This Row],[Common Security Program]]&amp;tblRisk[[#This Row],[Common Security Control]]&amp;tblRisk[[#This Row],[Asset Designation ]]</f>
        <v>Access ControlGovernanceUsers</v>
      </c>
      <c r="BI53" s="191"/>
      <c r="BJ53" s="191"/>
      <c r="BK53" s="191"/>
      <c r="BL53" s="191"/>
      <c r="BM53" s="191"/>
      <c r="BN53" s="191"/>
      <c r="BO53" s="191"/>
      <c r="BP53" s="191"/>
      <c r="BQ53" s="191"/>
    </row>
    <row r="54" spans="1:69" ht="126" x14ac:dyDescent="0.65">
      <c r="A54" s="160">
        <v>51</v>
      </c>
      <c r="B54" s="160" t="s">
        <v>899</v>
      </c>
      <c r="C54" s="19" t="s">
        <v>935</v>
      </c>
      <c r="D54" s="28" t="s">
        <v>1172</v>
      </c>
      <c r="E54" s="207" t="s">
        <v>1092</v>
      </c>
      <c r="F54" s="194"/>
      <c r="G54" s="194" t="s">
        <v>117</v>
      </c>
      <c r="H54" s="194" t="s">
        <v>117</v>
      </c>
      <c r="I54" s="194" t="s">
        <v>1080</v>
      </c>
      <c r="J54" s="194" t="s">
        <v>1080</v>
      </c>
      <c r="K54" s="194" t="s">
        <v>1080</v>
      </c>
      <c r="L54" s="194" t="s">
        <v>1080</v>
      </c>
      <c r="M54" s="194" t="s">
        <v>1080</v>
      </c>
      <c r="N54" s="194">
        <f>COUNTIF(tblRisk[[#This Row],[Defends Against Malware]:[Defends Against Targeted Intrusions]],"Yes")</f>
        <v>0</v>
      </c>
      <c r="O54" s="160" t="s">
        <v>18</v>
      </c>
      <c r="P54" s="160" t="s">
        <v>88</v>
      </c>
      <c r="Q54" s="160" t="s">
        <v>34</v>
      </c>
      <c r="R54" s="160" t="s">
        <v>1086</v>
      </c>
      <c r="S54" s="160" t="s">
        <v>1418</v>
      </c>
      <c r="T54" s="160" t="s">
        <v>1416</v>
      </c>
      <c r="U54" s="160" t="s">
        <v>1417</v>
      </c>
      <c r="V54" s="160" t="s">
        <v>1590</v>
      </c>
      <c r="W54" s="160" t="s">
        <v>1709</v>
      </c>
      <c r="X54" s="160" t="s">
        <v>1765</v>
      </c>
      <c r="Y54" s="151">
        <f>IF(ISBLANK(tblRisk[[#This Row],[Threat Cluster]]),"",_xlfn.XLOOKUP(tblRisk[[#This Row],[Threat Cluster]],tblHIT[Threat Cluster],tblHIT[Quintile]))</f>
        <v>2</v>
      </c>
      <c r="Z54" s="152">
        <v>4</v>
      </c>
      <c r="AA54" s="153" t="str">
        <f>IF(OR(ISBLANK(tblRisk[[#This Row],[HIT Quintile]]),ISBLANK(tblRisk[[#This Row],[Control Maturity]])),"",_xlfn.XLOOKUP(tblRisk[[#This Row],[Control Maturity]] &amp; tblRisk[[#This Row],[HIT Quintile]],tblHITWDI[Lookup],tblHITWDI[Likelihood Description]))</f>
        <v>Foreseeable, not expected</v>
      </c>
      <c r="AB54" s="161">
        <f>IF(ISERROR(tblRisk[[#This Row],[Likelihood of Control Failure]]),"",VLOOKUP(tblRisk[[#This Row],[Likelihood of Control Failure]],tblLikelihood[],2,FALSE))</f>
        <v>2</v>
      </c>
      <c r="AC54" s="154">
        <v>2</v>
      </c>
      <c r="AD54" s="155">
        <v>2</v>
      </c>
      <c r="AE54" s="155">
        <v>2</v>
      </c>
      <c r="AF54" s="162">
        <f>IF(ISBLANK(tblRisk[[#This Row],[Impact to Mission]]),"",MAX(tblRisk[[#This Row],[Impact to Mission]:[Impact to Obligations]]))</f>
        <v>2</v>
      </c>
      <c r="AG54" s="163">
        <f>IF(ISERROR(tblRisk[[#This Row],[Impact Score]]*tblRisk[[#This Row],[Likelihood Score]]),"",tblRisk[[#This Row],[Likelihood Score]]*tblRisk[[#This Row],[Impact Score]])</f>
        <v>4</v>
      </c>
      <c r="AH54" s="163">
        <f>tblRisk[[#This Row],[Risk Score]]</f>
        <v>4</v>
      </c>
      <c r="AI54" s="164">
        <f t="shared" si="2"/>
        <v>9</v>
      </c>
      <c r="AJ54" s="164">
        <f>IF(tblRisk[[#This Row],[Safeguard Status]]="In Place",tblRisk[[#This Row],[Control Maturity after SG]],tblRisk[[#This Row],[Control Maturity]])</f>
        <v>4</v>
      </c>
      <c r="AK54" s="173" t="str">
        <f>IF(tblRisk[[#This Row],[Safeguard Status]]="In Place",tblRisk[[#This Row],[Safeguard Threat Cluster]],tblRisk[[#This Row],[Threat Cluster]])</f>
        <v>Personnel Misuse</v>
      </c>
      <c r="AL54" s="164">
        <f>IF(tblRisk[[#This Row],[Safeguard Status]]="In Place",tblRisk[[#This Row],[Risk Level With Safeguard in Place]],tblRisk[[#This Row],[Risk Level]])</f>
        <v>4</v>
      </c>
      <c r="AM54" s="165" t="s">
        <v>1887</v>
      </c>
      <c r="AN54" s="165" t="str">
        <f>IF(tblRisk[[#This Row],[Risk Treatment Option]]="Manage",_xlfn.IFNA(INDEX(tblRiskTreatmentPrograms[#Data],MATCH(tblRisk[[#This Row],[Common Security Program]]&amp;tblRisk[[#This Row],[Common Security Control]],tblRiskTreatmentPrograms[Lookup],0),MATCH($AN$3,tblRiskTreatmentPrograms[#Headers],0)),txtBadRTP),"")</f>
        <v/>
      </c>
      <c r="AO54" s="165" t="str">
        <f>IF(tblRisk[[#This Row],[Risk Treatment Program]]="","",INDEX(tblRiskTreatmentPrograms[#Data],MATCH(tblRisk[[#This Row],[Risk Treatment Program]],tblRiskTreatmentPrograms[Risk Treatment Program],0),MATCH($AO$3,tblRiskTreatmentPrograms[#Headers],0)))</f>
        <v/>
      </c>
      <c r="AP54" s="165"/>
      <c r="AQ5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4" s="19" t="str">
        <f>tblRisk[[#This Row],[Threat Cluster]]</f>
        <v>Personnel Misuse</v>
      </c>
      <c r="AS54" s="156">
        <f>IF(ISBLANK(tblRisk[[#This Row],[Safeguard Threat Cluster]]),"",_xlfn.XLOOKUP(tblRisk[[#This Row],[Safeguard Threat Cluster]],tblHIT[Threat Cluster],tblHIT[Quintile]))</f>
        <v>2</v>
      </c>
      <c r="AT54" s="157">
        <f>_xlfn.SWITCH(tblRisk[[#This Row],[Risk Treatment Option]],"Manage",tblRisk[[#This Row],[Control Maturity]]+1,tblRisk[[#This Row],[Control Maturity]])</f>
        <v>4</v>
      </c>
      <c r="AU5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54" s="166">
        <f>IF(ISERROR(tblRisk[[#This Row],[Likelihood of Control Failure after SG]]),"",VLOOKUP(tblRisk[[#This Row],[Likelihood of Control Failure after SG]],tblLikelihood[#Data],2,FALSE))</f>
        <v>2</v>
      </c>
      <c r="AW54" s="159">
        <f>tblRisk[[#This Row],[Impact to Mission]]</f>
        <v>2</v>
      </c>
      <c r="AX54" s="159">
        <f>tblRisk[[#This Row],[Impact to Objectives]]</f>
        <v>2</v>
      </c>
      <c r="AY54" s="159">
        <f>tblRisk[[#This Row],[Impact to Obligations]]</f>
        <v>2</v>
      </c>
      <c r="AZ54" s="166">
        <f>IF(ISBLANK(tblRisk[[#This Row],[Impact to Mission With Safeguard in Place]]),"",MAX(tblRisk[[#This Row],[Impact to Mission With Safeguard in Place]:[Impact to Obligations With Safeguard in Place]]))</f>
        <v>2</v>
      </c>
      <c r="BA54" s="167">
        <f>IF(ISERROR(tblRisk[[#This Row],[Impact Score with Safeguard in Place]]*tblRisk[[#This Row],[Likelihood Score with Safeguard in Place]]),"",tblRisk[[#This Row],[Impact Score with Safeguard in Place]]*tblRisk[[#This Row],[Likelihood Score with Safeguard in Place]])</f>
        <v>4</v>
      </c>
      <c r="BB54" s="164">
        <f>tblRisk[[#This Row],[Risk Score With Safeguard in Place]]</f>
        <v>4</v>
      </c>
      <c r="BC54" s="168" t="str">
        <f>IF(tblRisk[[#This Row],[Risk Treatment Option]]&lt;&gt;"Accept",IF(_xlfn.XLOOKUP(tblRisk[[#This Row],[Specific Safeguard Recommendation]],ProTrak[Task],ProTrak[Status],"Not Found")="Completed","Pending Validation","Pending"),"")</f>
        <v/>
      </c>
      <c r="BD54" s="169" t="str">
        <f>_xlfn.XLOOKUP(tblRisk[[#This Row],[Risk Treatment Program]],tblRiskTreatmentPrograms[Risk Treatment Program],tblRiskTreatmentPrograms[Estimated End Date (MM/DD/YYYY)],"")</f>
        <v/>
      </c>
      <c r="BE54" s="170"/>
      <c r="BF54" s="171" t="str">
        <f>_xlfn.IFNA(IF(tblRisk[[#This Row],[Due Date]]&lt;=vWhatIfQuarter,"Closed",""),"")</f>
        <v/>
      </c>
      <c r="BG54" s="171">
        <f>IF(tblRisk[[#This Row],[Scenario Builder Status]]="Closed",tblRisk[[#This Row],[Risk Score With Safeguard in Place]],tblRisk[[#This Row],[Risk Score]])</f>
        <v>4</v>
      </c>
      <c r="BH54" s="192" t="str">
        <f>tblRisk[[#This Row],[Common Security Program]]&amp;tblRisk[[#This Row],[Common Security Control]]&amp;tblRisk[[#This Row],[Asset Designation ]]</f>
        <v>Access ControlOperationUsers</v>
      </c>
      <c r="BI54" s="191"/>
      <c r="BJ54" s="191"/>
      <c r="BK54" s="191"/>
      <c r="BL54" s="191"/>
      <c r="BM54" s="191"/>
      <c r="BN54" s="191"/>
      <c r="BO54" s="191"/>
      <c r="BP54" s="191"/>
      <c r="BQ54" s="191"/>
    </row>
    <row r="55" spans="1:69" ht="126" x14ac:dyDescent="0.65">
      <c r="A55" s="160">
        <v>52</v>
      </c>
      <c r="B55" s="160" t="s">
        <v>899</v>
      </c>
      <c r="C55" s="19" t="s">
        <v>936</v>
      </c>
      <c r="D55" s="28" t="s">
        <v>1173</v>
      </c>
      <c r="E55" s="207" t="s">
        <v>1094</v>
      </c>
      <c r="F55" s="194"/>
      <c r="G55" s="194"/>
      <c r="H55" s="194" t="s">
        <v>117</v>
      </c>
      <c r="I55" s="194" t="s">
        <v>1081</v>
      </c>
      <c r="J55" s="194" t="s">
        <v>1081</v>
      </c>
      <c r="K55" s="194" t="s">
        <v>1081</v>
      </c>
      <c r="L55" s="194" t="s">
        <v>1081</v>
      </c>
      <c r="M55" s="194" t="s">
        <v>1081</v>
      </c>
      <c r="N55" s="194">
        <f>COUNTIF(tblRisk[[#This Row],[Defends Against Malware]:[Defends Against Targeted Intrusions]],"Yes")</f>
        <v>5</v>
      </c>
      <c r="O55" s="160" t="s">
        <v>18</v>
      </c>
      <c r="P55" s="160" t="s">
        <v>88</v>
      </c>
      <c r="Q55" s="160" t="s">
        <v>34</v>
      </c>
      <c r="R55" s="160" t="s">
        <v>1084</v>
      </c>
      <c r="S55" s="160" t="s">
        <v>1418</v>
      </c>
      <c r="T55" s="160" t="s">
        <v>1416</v>
      </c>
      <c r="U55" s="160" t="s">
        <v>1417</v>
      </c>
      <c r="V55" s="160" t="s">
        <v>1591</v>
      </c>
      <c r="W55" s="160" t="s">
        <v>1709</v>
      </c>
      <c r="X55" s="160" t="s">
        <v>1766</v>
      </c>
      <c r="Y55" s="151">
        <f>IF(ISBLANK(tblRisk[[#This Row],[Threat Cluster]]),"",_xlfn.XLOOKUP(tblRisk[[#This Row],[Threat Cluster]],tblHIT[Threat Cluster],tblHIT[Quintile]))</f>
        <v>2</v>
      </c>
      <c r="Z55" s="152">
        <v>4</v>
      </c>
      <c r="AA55" s="153" t="str">
        <f>IF(OR(ISBLANK(tblRisk[[#This Row],[HIT Quintile]]),ISBLANK(tblRisk[[#This Row],[Control Maturity]])),"",_xlfn.XLOOKUP(tblRisk[[#This Row],[Control Maturity]] &amp; tblRisk[[#This Row],[HIT Quintile]],tblHITWDI[Lookup],tblHITWDI[Likelihood Description]))</f>
        <v>Foreseeable, not expected</v>
      </c>
      <c r="AB55" s="161">
        <f>IF(ISERROR(tblRisk[[#This Row],[Likelihood of Control Failure]]),"",VLOOKUP(tblRisk[[#This Row],[Likelihood of Control Failure]],tblLikelihood[],2,FALSE))</f>
        <v>2</v>
      </c>
      <c r="AC55" s="154">
        <v>2</v>
      </c>
      <c r="AD55" s="155">
        <v>2</v>
      </c>
      <c r="AE55" s="155">
        <v>2</v>
      </c>
      <c r="AF55" s="162">
        <f>IF(ISBLANK(tblRisk[[#This Row],[Impact to Mission]]),"",MAX(tblRisk[[#This Row],[Impact to Mission]:[Impact to Obligations]]))</f>
        <v>2</v>
      </c>
      <c r="AG55" s="163">
        <f>IF(ISERROR(tblRisk[[#This Row],[Impact Score]]*tblRisk[[#This Row],[Likelihood Score]]),"",tblRisk[[#This Row],[Likelihood Score]]*tblRisk[[#This Row],[Impact Score]])</f>
        <v>4</v>
      </c>
      <c r="AH55" s="163">
        <f>tblRisk[[#This Row],[Risk Score]]</f>
        <v>4</v>
      </c>
      <c r="AI55" s="164">
        <f t="shared" si="2"/>
        <v>9</v>
      </c>
      <c r="AJ55" s="164">
        <f>IF(tblRisk[[#This Row],[Safeguard Status]]="In Place",tblRisk[[#This Row],[Control Maturity after SG]],tblRisk[[#This Row],[Control Maturity]])</f>
        <v>4</v>
      </c>
      <c r="AK55" s="173" t="str">
        <f>IF(tblRisk[[#This Row],[Safeguard Status]]="In Place",tblRisk[[#This Row],[Safeguard Threat Cluster]],tblRisk[[#This Row],[Threat Cluster]])</f>
        <v>Personnel Misuse</v>
      </c>
      <c r="AL55" s="164">
        <f>IF(tblRisk[[#This Row],[Safeguard Status]]="In Place",tblRisk[[#This Row],[Risk Level With Safeguard in Place]],tblRisk[[#This Row],[Risk Level]])</f>
        <v>4</v>
      </c>
      <c r="AM55" s="165" t="s">
        <v>1887</v>
      </c>
      <c r="AN55" s="165" t="str">
        <f>IF(tblRisk[[#This Row],[Risk Treatment Option]]="Manage",_xlfn.IFNA(INDEX(tblRiskTreatmentPrograms[#Data],MATCH(tblRisk[[#This Row],[Common Security Program]]&amp;tblRisk[[#This Row],[Common Security Control]],tblRiskTreatmentPrograms[Lookup],0),MATCH($AN$3,tblRiskTreatmentPrograms[#Headers],0)),txtBadRTP),"")</f>
        <v/>
      </c>
      <c r="AO55" s="165" t="str">
        <f>IF(tblRisk[[#This Row],[Risk Treatment Program]]="","",INDEX(tblRiskTreatmentPrograms[#Data],MATCH(tblRisk[[#This Row],[Risk Treatment Program]],tblRiskTreatmentPrograms[Risk Treatment Program],0),MATCH($AO$3,tblRiskTreatmentPrograms[#Headers],0)))</f>
        <v/>
      </c>
      <c r="AP55" s="165"/>
      <c r="AQ5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5" s="19" t="str">
        <f>tblRisk[[#This Row],[Threat Cluster]]</f>
        <v>Personnel Misuse</v>
      </c>
      <c r="AS55" s="156">
        <f>IF(ISBLANK(tblRisk[[#This Row],[Safeguard Threat Cluster]]),"",_xlfn.XLOOKUP(tblRisk[[#This Row],[Safeguard Threat Cluster]],tblHIT[Threat Cluster],tblHIT[Quintile]))</f>
        <v>2</v>
      </c>
      <c r="AT55" s="157">
        <f>_xlfn.SWITCH(tblRisk[[#This Row],[Risk Treatment Option]],"Manage",tblRisk[[#This Row],[Control Maturity]]+1,tblRisk[[#This Row],[Control Maturity]])</f>
        <v>4</v>
      </c>
      <c r="AU5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55" s="166">
        <f>IF(ISERROR(tblRisk[[#This Row],[Likelihood of Control Failure after SG]]),"",VLOOKUP(tblRisk[[#This Row],[Likelihood of Control Failure after SG]],tblLikelihood[#Data],2,FALSE))</f>
        <v>2</v>
      </c>
      <c r="AW55" s="159">
        <f>tblRisk[[#This Row],[Impact to Mission]]</f>
        <v>2</v>
      </c>
      <c r="AX55" s="159">
        <f>tblRisk[[#This Row],[Impact to Objectives]]</f>
        <v>2</v>
      </c>
      <c r="AY55" s="159">
        <f>tblRisk[[#This Row],[Impact to Obligations]]</f>
        <v>2</v>
      </c>
      <c r="AZ55" s="166">
        <f>IF(ISBLANK(tblRisk[[#This Row],[Impact to Mission With Safeguard in Place]]),"",MAX(tblRisk[[#This Row],[Impact to Mission With Safeguard in Place]:[Impact to Obligations With Safeguard in Place]]))</f>
        <v>2</v>
      </c>
      <c r="BA55" s="167">
        <f>IF(ISERROR(tblRisk[[#This Row],[Impact Score with Safeguard in Place]]*tblRisk[[#This Row],[Likelihood Score with Safeguard in Place]]),"",tblRisk[[#This Row],[Impact Score with Safeguard in Place]]*tblRisk[[#This Row],[Likelihood Score with Safeguard in Place]])</f>
        <v>4</v>
      </c>
      <c r="BB55" s="164">
        <f>tblRisk[[#This Row],[Risk Score With Safeguard in Place]]</f>
        <v>4</v>
      </c>
      <c r="BC55" s="168" t="str">
        <f>IF(tblRisk[[#This Row],[Risk Treatment Option]]&lt;&gt;"Accept",IF(_xlfn.XLOOKUP(tblRisk[[#This Row],[Specific Safeguard Recommendation]],ProTrak[Task],ProTrak[Status],"Not Found")="Completed","Pending Validation","Pending"),"")</f>
        <v/>
      </c>
      <c r="BD55" s="169" t="str">
        <f>_xlfn.XLOOKUP(tblRisk[[#This Row],[Risk Treatment Program]],tblRiskTreatmentPrograms[Risk Treatment Program],tblRiskTreatmentPrograms[Estimated End Date (MM/DD/YYYY)],"")</f>
        <v/>
      </c>
      <c r="BE55" s="170"/>
      <c r="BF55" s="171" t="str">
        <f>_xlfn.IFNA(IF(tblRisk[[#This Row],[Due Date]]&lt;=vWhatIfQuarter,"Closed",""),"")</f>
        <v/>
      </c>
      <c r="BG55" s="171">
        <f>IF(tblRisk[[#This Row],[Scenario Builder Status]]="Closed",tblRisk[[#This Row],[Risk Score With Safeguard in Place]],tblRisk[[#This Row],[Risk Score]])</f>
        <v>4</v>
      </c>
      <c r="BH55" s="192" t="str">
        <f>tblRisk[[#This Row],[Common Security Program]]&amp;tblRisk[[#This Row],[Common Security Control]]&amp;tblRisk[[#This Row],[Asset Designation ]]</f>
        <v>Access ControlOperationData</v>
      </c>
      <c r="BI55" s="191"/>
      <c r="BJ55" s="191"/>
      <c r="BK55" s="191"/>
      <c r="BL55" s="191"/>
      <c r="BM55" s="191" t="s">
        <v>117</v>
      </c>
      <c r="BN55" s="191"/>
      <c r="BO55" s="191" t="s">
        <v>117</v>
      </c>
      <c r="BP55" s="191" t="s">
        <v>117</v>
      </c>
      <c r="BQ55" s="191"/>
    </row>
    <row r="56" spans="1:69" ht="110.25" x14ac:dyDescent="0.65">
      <c r="A56" s="160">
        <v>53</v>
      </c>
      <c r="B56" s="160" t="s">
        <v>899</v>
      </c>
      <c r="C56" s="19" t="s">
        <v>1031</v>
      </c>
      <c r="D56" s="28" t="s">
        <v>1174</v>
      </c>
      <c r="E56" s="207" t="s">
        <v>1095</v>
      </c>
      <c r="F56" s="194" t="s">
        <v>117</v>
      </c>
      <c r="G56" s="194" t="s">
        <v>117</v>
      </c>
      <c r="H56" s="194" t="s">
        <v>117</v>
      </c>
      <c r="I56" s="194" t="s">
        <v>1081</v>
      </c>
      <c r="J56" s="194" t="s">
        <v>1081</v>
      </c>
      <c r="K56" s="194" t="s">
        <v>1081</v>
      </c>
      <c r="L56" s="194" t="s">
        <v>1081</v>
      </c>
      <c r="M56" s="194" t="s">
        <v>1081</v>
      </c>
      <c r="N56" s="194">
        <f>COUNTIF(tblRisk[[#This Row],[Defends Against Malware]:[Defends Against Targeted Intrusions]],"Yes")</f>
        <v>5</v>
      </c>
      <c r="O56" s="160" t="s">
        <v>22</v>
      </c>
      <c r="P56" s="160" t="s">
        <v>86</v>
      </c>
      <c r="Q56" s="160" t="s">
        <v>30</v>
      </c>
      <c r="R56" s="160" t="s">
        <v>1083</v>
      </c>
      <c r="S56" s="160" t="s">
        <v>1087</v>
      </c>
      <c r="T56" s="160" t="s">
        <v>1427</v>
      </c>
      <c r="U56" s="160" t="s">
        <v>1428</v>
      </c>
      <c r="V56" s="19" t="s">
        <v>1642</v>
      </c>
      <c r="W56" s="160" t="s">
        <v>1709</v>
      </c>
      <c r="X56" s="160" t="s">
        <v>1767</v>
      </c>
      <c r="Y56" s="151">
        <f>IF(ISBLANK(tblRisk[[#This Row],[Threat Cluster]]),"",_xlfn.XLOOKUP(tblRisk[[#This Row],[Threat Cluster]],tblHIT[Threat Cluster],tblHIT[Quintile]))</f>
        <v>2</v>
      </c>
      <c r="Z56" s="152">
        <v>4</v>
      </c>
      <c r="AA56" s="153" t="str">
        <f>IF(OR(ISBLANK(tblRisk[[#This Row],[HIT Quintile]]),ISBLANK(tblRisk[[#This Row],[Control Maturity]])),"",_xlfn.XLOOKUP(tblRisk[[#This Row],[Control Maturity]] &amp; tblRisk[[#This Row],[HIT Quintile]],tblHITWDI[Lookup],tblHITWDI[Likelihood Description]))</f>
        <v>Foreseeable, not expected</v>
      </c>
      <c r="AB56" s="161">
        <f>IF(ISERROR(tblRisk[[#This Row],[Likelihood of Control Failure]]),"",VLOOKUP(tblRisk[[#This Row],[Likelihood of Control Failure]],tblLikelihood[],2,FALSE))</f>
        <v>2</v>
      </c>
      <c r="AC56" s="154">
        <v>2</v>
      </c>
      <c r="AD56" s="155">
        <v>2</v>
      </c>
      <c r="AE56" s="155">
        <v>3</v>
      </c>
      <c r="AF56" s="162">
        <f>IF(ISBLANK(tblRisk[[#This Row],[Impact to Mission]]),"",MAX(tblRisk[[#This Row],[Impact to Mission]:[Impact to Obligations]]))</f>
        <v>3</v>
      </c>
      <c r="AG56" s="163">
        <f>IF(ISERROR(tblRisk[[#This Row],[Impact Score]]*tblRisk[[#This Row],[Likelihood Score]]),"",tblRisk[[#This Row],[Likelihood Score]]*tblRisk[[#This Row],[Impact Score]])</f>
        <v>6</v>
      </c>
      <c r="AH56" s="163">
        <f>tblRisk[[#This Row],[Risk Score]]</f>
        <v>6</v>
      </c>
      <c r="AI56" s="164">
        <f t="shared" si="2"/>
        <v>9</v>
      </c>
      <c r="AJ56" s="164">
        <f>IF(tblRisk[[#This Row],[Safeguard Status]]="In Place",tblRisk[[#This Row],[Control Maturity after SG]],tblRisk[[#This Row],[Control Maturity]])</f>
        <v>4</v>
      </c>
      <c r="AK56" s="173" t="str">
        <f>IF(tblRisk[[#This Row],[Safeguard Status]]="In Place",tblRisk[[#This Row],[Safeguard Threat Cluster]],tblRisk[[#This Row],[Threat Cluster]])</f>
        <v>Hacking System</v>
      </c>
      <c r="AL56" s="164">
        <f>IF(tblRisk[[#This Row],[Safeguard Status]]="In Place",tblRisk[[#This Row],[Risk Level With Safeguard in Place]],tblRisk[[#This Row],[Risk Level]])</f>
        <v>6</v>
      </c>
      <c r="AM56" s="165" t="s">
        <v>1887</v>
      </c>
      <c r="AN56" s="165" t="str">
        <f>IF(tblRisk[[#This Row],[Risk Treatment Option]]="Manage",_xlfn.IFNA(INDEX(tblRiskTreatmentPrograms[#Data],MATCH(tblRisk[[#This Row],[Common Security Program]]&amp;tblRisk[[#This Row],[Common Security Control]],tblRiskTreatmentPrograms[Lookup],0),MATCH($AN$3,tblRiskTreatmentPrograms[#Headers],0)),txtBadRTP),"")</f>
        <v/>
      </c>
      <c r="AO56" s="165" t="str">
        <f>IF(tblRisk[[#This Row],[Risk Treatment Program]]="","",INDEX(tblRiskTreatmentPrograms[#Data],MATCH(tblRisk[[#This Row],[Risk Treatment Program]],tblRiskTreatmentPrograms[Risk Treatment Program],0),MATCH($AO$3,tblRiskTreatmentPrograms[#Headers],0)))</f>
        <v/>
      </c>
      <c r="AP56" s="165"/>
      <c r="AQ5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6" s="19" t="str">
        <f>tblRisk[[#This Row],[Threat Cluster]]</f>
        <v>Hacking System</v>
      </c>
      <c r="AS56" s="156">
        <f>IF(ISBLANK(tblRisk[[#This Row],[Safeguard Threat Cluster]]),"",_xlfn.XLOOKUP(tblRisk[[#This Row],[Safeguard Threat Cluster]],tblHIT[Threat Cluster],tblHIT[Quintile]))</f>
        <v>2</v>
      </c>
      <c r="AT56" s="157">
        <f>_xlfn.SWITCH(tblRisk[[#This Row],[Risk Treatment Option]],"Manage",tblRisk[[#This Row],[Control Maturity]]+1,tblRisk[[#This Row],[Control Maturity]])</f>
        <v>4</v>
      </c>
      <c r="AU5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56" s="166">
        <f>IF(ISERROR(tblRisk[[#This Row],[Likelihood of Control Failure after SG]]),"",VLOOKUP(tblRisk[[#This Row],[Likelihood of Control Failure after SG]],tblLikelihood[#Data],2,FALSE))</f>
        <v>2</v>
      </c>
      <c r="AW56" s="159">
        <f>tblRisk[[#This Row],[Impact to Mission]]</f>
        <v>2</v>
      </c>
      <c r="AX56" s="159">
        <f>tblRisk[[#This Row],[Impact to Objectives]]</f>
        <v>2</v>
      </c>
      <c r="AY56" s="159">
        <f>tblRisk[[#This Row],[Impact to Obligations]]</f>
        <v>3</v>
      </c>
      <c r="AZ56" s="166">
        <f>IF(ISBLANK(tblRisk[[#This Row],[Impact to Mission With Safeguard in Place]]),"",MAX(tblRisk[[#This Row],[Impact to Mission With Safeguard in Place]:[Impact to Obligations With Safeguard in Place]]))</f>
        <v>3</v>
      </c>
      <c r="BA56" s="167">
        <f>IF(ISERROR(tblRisk[[#This Row],[Impact Score with Safeguard in Place]]*tblRisk[[#This Row],[Likelihood Score with Safeguard in Place]]),"",tblRisk[[#This Row],[Impact Score with Safeguard in Place]]*tblRisk[[#This Row],[Likelihood Score with Safeguard in Place]])</f>
        <v>6</v>
      </c>
      <c r="BB56" s="164">
        <f>tblRisk[[#This Row],[Risk Score With Safeguard in Place]]</f>
        <v>6</v>
      </c>
      <c r="BC56" s="168" t="str">
        <f>IF(tblRisk[[#This Row],[Risk Treatment Option]]&lt;&gt;"Accept",IF(_xlfn.XLOOKUP(tblRisk[[#This Row],[Specific Safeguard Recommendation]],ProTrak[Task],ProTrak[Status],"Not Found")="Completed","Pending Validation","Pending"),"")</f>
        <v/>
      </c>
      <c r="BD56" s="169" t="str">
        <f>_xlfn.XLOOKUP(tblRisk[[#This Row],[Risk Treatment Program]],tblRiskTreatmentPrograms[Risk Treatment Program],tblRiskTreatmentPrograms[Estimated End Date (MM/DD/YYYY)],"")</f>
        <v/>
      </c>
      <c r="BE56" s="170"/>
      <c r="BF56" s="171" t="str">
        <f>_xlfn.IFNA(IF(tblRisk[[#This Row],[Due Date]]&lt;=vWhatIfQuarter,"Closed",""),"")</f>
        <v/>
      </c>
      <c r="BG56" s="171">
        <f>IF(tblRisk[[#This Row],[Scenario Builder Status]]="Closed",tblRisk[[#This Row],[Risk Score With Safeguard in Place]],tblRisk[[#This Row],[Risk Score]])</f>
        <v>6</v>
      </c>
      <c r="BH56" s="192" t="str">
        <f>tblRisk[[#This Row],[Common Security Program]]&amp;tblRisk[[#This Row],[Common Security Control]]&amp;tblRisk[[#This Row],[Asset Designation ]]</f>
        <v>Vulnerability ManagementGovernanceApplications</v>
      </c>
      <c r="BI56" s="191"/>
      <c r="BJ56" s="191"/>
      <c r="BK56" s="191"/>
      <c r="BL56" s="191" t="s">
        <v>117</v>
      </c>
      <c r="BM56" s="191" t="s">
        <v>117</v>
      </c>
      <c r="BN56" s="191"/>
      <c r="BO56" s="191" t="s">
        <v>117</v>
      </c>
      <c r="BP56" s="191"/>
      <c r="BQ56" s="191"/>
    </row>
    <row r="57" spans="1:69" ht="78.75" x14ac:dyDescent="0.65">
      <c r="A57" s="160">
        <v>54</v>
      </c>
      <c r="B57" s="160" t="s">
        <v>899</v>
      </c>
      <c r="C57" s="19" t="s">
        <v>1032</v>
      </c>
      <c r="D57" s="28" t="s">
        <v>1175</v>
      </c>
      <c r="E57" s="207" t="s">
        <v>1095</v>
      </c>
      <c r="F57" s="194" t="s">
        <v>117</v>
      </c>
      <c r="G57" s="194" t="s">
        <v>117</v>
      </c>
      <c r="H57" s="194" t="s">
        <v>117</v>
      </c>
      <c r="I57" s="194" t="s">
        <v>1081</v>
      </c>
      <c r="J57" s="194" t="s">
        <v>1081</v>
      </c>
      <c r="K57" s="194" t="s">
        <v>1081</v>
      </c>
      <c r="L57" s="194" t="s">
        <v>1081</v>
      </c>
      <c r="M57" s="194" t="s">
        <v>1081</v>
      </c>
      <c r="N57" s="194">
        <f>COUNTIF(tblRisk[[#This Row],[Defends Against Malware]:[Defends Against Targeted Intrusions]],"Yes")</f>
        <v>5</v>
      </c>
      <c r="O57" s="160" t="s">
        <v>22</v>
      </c>
      <c r="P57" s="160" t="s">
        <v>86</v>
      </c>
      <c r="Q57" s="160" t="s">
        <v>30</v>
      </c>
      <c r="R57" s="160" t="s">
        <v>1083</v>
      </c>
      <c r="S57" s="160" t="s">
        <v>1087</v>
      </c>
      <c r="T57" s="160" t="s">
        <v>1427</v>
      </c>
      <c r="U57" s="160" t="s">
        <v>1428</v>
      </c>
      <c r="V57" s="19" t="s">
        <v>1641</v>
      </c>
      <c r="W57" s="160" t="s">
        <v>1709</v>
      </c>
      <c r="X57" s="160" t="s">
        <v>1768</v>
      </c>
      <c r="Y57" s="151">
        <f>IF(ISBLANK(tblRisk[[#This Row],[Threat Cluster]]),"",_xlfn.XLOOKUP(tblRisk[[#This Row],[Threat Cluster]],tblHIT[Threat Cluster],tblHIT[Quintile]))</f>
        <v>2</v>
      </c>
      <c r="Z57" s="152">
        <v>4</v>
      </c>
      <c r="AA57" s="153" t="str">
        <f>IF(OR(ISBLANK(tblRisk[[#This Row],[HIT Quintile]]),ISBLANK(tblRisk[[#This Row],[Control Maturity]])),"",_xlfn.XLOOKUP(tblRisk[[#This Row],[Control Maturity]] &amp; tblRisk[[#This Row],[HIT Quintile]],tblHITWDI[Lookup],tblHITWDI[Likelihood Description]))</f>
        <v>Foreseeable, not expected</v>
      </c>
      <c r="AB57" s="161">
        <f>IF(ISERROR(tblRisk[[#This Row],[Likelihood of Control Failure]]),"",VLOOKUP(tblRisk[[#This Row],[Likelihood of Control Failure]],tblLikelihood[],2,FALSE))</f>
        <v>2</v>
      </c>
      <c r="AC57" s="154">
        <v>2</v>
      </c>
      <c r="AD57" s="155">
        <v>2</v>
      </c>
      <c r="AE57" s="155">
        <v>3</v>
      </c>
      <c r="AF57" s="162">
        <f>IF(ISBLANK(tblRisk[[#This Row],[Impact to Mission]]),"",MAX(tblRisk[[#This Row],[Impact to Mission]:[Impact to Obligations]]))</f>
        <v>3</v>
      </c>
      <c r="AG57" s="163">
        <f>IF(ISERROR(tblRisk[[#This Row],[Impact Score]]*tblRisk[[#This Row],[Likelihood Score]]),"",tblRisk[[#This Row],[Likelihood Score]]*tblRisk[[#This Row],[Impact Score]])</f>
        <v>6</v>
      </c>
      <c r="AH57" s="163">
        <f>tblRisk[[#This Row],[Risk Score]]</f>
        <v>6</v>
      </c>
      <c r="AI57" s="164">
        <f t="shared" si="2"/>
        <v>9</v>
      </c>
      <c r="AJ57" s="164">
        <f>IF(tblRisk[[#This Row],[Safeguard Status]]="In Place",tblRisk[[#This Row],[Control Maturity after SG]],tblRisk[[#This Row],[Control Maturity]])</f>
        <v>4</v>
      </c>
      <c r="AK57" s="173" t="str">
        <f>IF(tblRisk[[#This Row],[Safeguard Status]]="In Place",tblRisk[[#This Row],[Safeguard Threat Cluster]],tblRisk[[#This Row],[Threat Cluster]])</f>
        <v>Hacking System</v>
      </c>
      <c r="AL57" s="164">
        <f>IF(tblRisk[[#This Row],[Safeguard Status]]="In Place",tblRisk[[#This Row],[Risk Level With Safeguard in Place]],tblRisk[[#This Row],[Risk Level]])</f>
        <v>6</v>
      </c>
      <c r="AM57" s="165" t="s">
        <v>1887</v>
      </c>
      <c r="AN57" s="165" t="str">
        <f>IF(tblRisk[[#This Row],[Risk Treatment Option]]="Manage",_xlfn.IFNA(INDEX(tblRiskTreatmentPrograms[#Data],MATCH(tblRisk[[#This Row],[Common Security Program]]&amp;tblRisk[[#This Row],[Common Security Control]],tblRiskTreatmentPrograms[Lookup],0),MATCH($AN$3,tblRiskTreatmentPrograms[#Headers],0)),txtBadRTP),"")</f>
        <v/>
      </c>
      <c r="AO57" s="165" t="str">
        <f>IF(tblRisk[[#This Row],[Risk Treatment Program]]="","",INDEX(tblRiskTreatmentPrograms[#Data],MATCH(tblRisk[[#This Row],[Risk Treatment Program]],tblRiskTreatmentPrograms[Risk Treatment Program],0),MATCH($AO$3,tblRiskTreatmentPrograms[#Headers],0)))</f>
        <v/>
      </c>
      <c r="AP57" s="165"/>
      <c r="AQ5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7" s="19" t="str">
        <f>tblRisk[[#This Row],[Threat Cluster]]</f>
        <v>Hacking System</v>
      </c>
      <c r="AS57" s="156">
        <f>IF(ISBLANK(tblRisk[[#This Row],[Safeguard Threat Cluster]]),"",_xlfn.XLOOKUP(tblRisk[[#This Row],[Safeguard Threat Cluster]],tblHIT[Threat Cluster],tblHIT[Quintile]))</f>
        <v>2</v>
      </c>
      <c r="AT57" s="157">
        <f>_xlfn.SWITCH(tblRisk[[#This Row],[Risk Treatment Option]],"Manage",tblRisk[[#This Row],[Control Maturity]]+1,tblRisk[[#This Row],[Control Maturity]])</f>
        <v>4</v>
      </c>
      <c r="AU5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57" s="166">
        <f>IF(ISERROR(tblRisk[[#This Row],[Likelihood of Control Failure after SG]]),"",VLOOKUP(tblRisk[[#This Row],[Likelihood of Control Failure after SG]],tblLikelihood[#Data],2,FALSE))</f>
        <v>2</v>
      </c>
      <c r="AW57" s="159">
        <f>tblRisk[[#This Row],[Impact to Mission]]</f>
        <v>2</v>
      </c>
      <c r="AX57" s="159">
        <f>tblRisk[[#This Row],[Impact to Objectives]]</f>
        <v>2</v>
      </c>
      <c r="AY57" s="159">
        <f>tblRisk[[#This Row],[Impact to Obligations]]</f>
        <v>3</v>
      </c>
      <c r="AZ57" s="166">
        <f>IF(ISBLANK(tblRisk[[#This Row],[Impact to Mission With Safeguard in Place]]),"",MAX(tblRisk[[#This Row],[Impact to Mission With Safeguard in Place]:[Impact to Obligations With Safeguard in Place]]))</f>
        <v>3</v>
      </c>
      <c r="BA57" s="167">
        <f>IF(ISERROR(tblRisk[[#This Row],[Impact Score with Safeguard in Place]]*tblRisk[[#This Row],[Likelihood Score with Safeguard in Place]]),"",tblRisk[[#This Row],[Impact Score with Safeguard in Place]]*tblRisk[[#This Row],[Likelihood Score with Safeguard in Place]])</f>
        <v>6</v>
      </c>
      <c r="BB57" s="164">
        <f>tblRisk[[#This Row],[Risk Score With Safeguard in Place]]</f>
        <v>6</v>
      </c>
      <c r="BC57" s="168" t="str">
        <f>IF(tblRisk[[#This Row],[Risk Treatment Option]]&lt;&gt;"Accept",IF(_xlfn.XLOOKUP(tblRisk[[#This Row],[Specific Safeguard Recommendation]],ProTrak[Task],ProTrak[Status],"Not Found")="Completed","Pending Validation","Pending"),"")</f>
        <v/>
      </c>
      <c r="BD57" s="169" t="str">
        <f>_xlfn.XLOOKUP(tblRisk[[#This Row],[Risk Treatment Program]],tblRiskTreatmentPrograms[Risk Treatment Program],tblRiskTreatmentPrograms[Estimated End Date (MM/DD/YYYY)],"")</f>
        <v/>
      </c>
      <c r="BE57" s="170"/>
      <c r="BF57" s="171" t="str">
        <f>_xlfn.IFNA(IF(tblRisk[[#This Row],[Due Date]]&lt;=vWhatIfQuarter,"Closed",""),"")</f>
        <v/>
      </c>
      <c r="BG57" s="171">
        <f>IF(tblRisk[[#This Row],[Scenario Builder Status]]="Closed",tblRisk[[#This Row],[Risk Score With Safeguard in Place]],tblRisk[[#This Row],[Risk Score]])</f>
        <v>6</v>
      </c>
      <c r="BH57" s="192" t="str">
        <f>tblRisk[[#This Row],[Common Security Program]]&amp;tblRisk[[#This Row],[Common Security Control]]&amp;tblRisk[[#This Row],[Asset Designation ]]</f>
        <v>Vulnerability ManagementGovernanceApplications</v>
      </c>
      <c r="BI57" s="191"/>
      <c r="BJ57" s="191"/>
      <c r="BK57" s="191"/>
      <c r="BL57" s="191" t="s">
        <v>117</v>
      </c>
      <c r="BM57" s="191" t="s">
        <v>117</v>
      </c>
      <c r="BN57" s="191"/>
      <c r="BO57" s="191" t="s">
        <v>117</v>
      </c>
      <c r="BP57" s="191"/>
      <c r="BQ57" s="191"/>
    </row>
    <row r="58" spans="1:69" ht="299.25" x14ac:dyDescent="0.65">
      <c r="A58" s="160">
        <v>55</v>
      </c>
      <c r="B58" s="160" t="s">
        <v>899</v>
      </c>
      <c r="C58" s="19" t="s">
        <v>937</v>
      </c>
      <c r="D58" s="28" t="s">
        <v>1176</v>
      </c>
      <c r="E58" s="207" t="s">
        <v>1095</v>
      </c>
      <c r="F58" s="194" t="s">
        <v>117</v>
      </c>
      <c r="G58" s="194" t="s">
        <v>117</v>
      </c>
      <c r="H58" s="194" t="s">
        <v>117</v>
      </c>
      <c r="I58" s="194" t="s">
        <v>1081</v>
      </c>
      <c r="J58" s="194" t="s">
        <v>1081</v>
      </c>
      <c r="K58" s="194" t="s">
        <v>1081</v>
      </c>
      <c r="L58" s="194" t="s">
        <v>1081</v>
      </c>
      <c r="M58" s="194" t="s">
        <v>1081</v>
      </c>
      <c r="N58" s="194">
        <f>COUNTIF(tblRisk[[#This Row],[Defends Against Malware]:[Defends Against Targeted Intrusions]],"Yes")</f>
        <v>5</v>
      </c>
      <c r="O58" s="160" t="s">
        <v>22</v>
      </c>
      <c r="P58" s="160" t="s">
        <v>88</v>
      </c>
      <c r="Q58" s="160" t="s">
        <v>611</v>
      </c>
      <c r="R58" s="160" t="s">
        <v>1083</v>
      </c>
      <c r="S58" s="160" t="s">
        <v>1431</v>
      </c>
      <c r="T58" s="160" t="s">
        <v>1429</v>
      </c>
      <c r="U58" s="160" t="s">
        <v>1430</v>
      </c>
      <c r="V58" s="19" t="s">
        <v>1643</v>
      </c>
      <c r="W58" s="160" t="s">
        <v>1709</v>
      </c>
      <c r="X58" s="160" t="s">
        <v>1769</v>
      </c>
      <c r="Y58" s="151">
        <f>IF(ISBLANK(tblRisk[[#This Row],[Threat Cluster]]),"",_xlfn.XLOOKUP(tblRisk[[#This Row],[Threat Cluster]],tblHIT[Threat Cluster],tblHIT[Quintile]))</f>
        <v>3</v>
      </c>
      <c r="Z58" s="152">
        <v>4</v>
      </c>
      <c r="AA58" s="153" t="str">
        <f>IF(OR(ISBLANK(tblRisk[[#This Row],[HIT Quintile]]),ISBLANK(tblRisk[[#This Row],[Control Maturity]])),"",_xlfn.XLOOKUP(tblRisk[[#This Row],[Control Maturity]] &amp; tblRisk[[#This Row],[HIT Quintile]],tblHITWDI[Lookup],tblHITWDI[Likelihood Description]))</f>
        <v>Foreseeable, not expected</v>
      </c>
      <c r="AB58" s="161">
        <f>IF(ISERROR(tblRisk[[#This Row],[Likelihood of Control Failure]]),"",VLOOKUP(tblRisk[[#This Row],[Likelihood of Control Failure]],tblLikelihood[],2,FALSE))</f>
        <v>2</v>
      </c>
      <c r="AC58" s="154">
        <v>2</v>
      </c>
      <c r="AD58" s="155">
        <v>2</v>
      </c>
      <c r="AE58" s="155">
        <v>3</v>
      </c>
      <c r="AF58" s="162">
        <f>IF(ISBLANK(tblRisk[[#This Row],[Impact to Mission]]),"",MAX(tblRisk[[#This Row],[Impact to Mission]:[Impact to Obligations]]))</f>
        <v>3</v>
      </c>
      <c r="AG58" s="163">
        <f>IF(ISERROR(tblRisk[[#This Row],[Impact Score]]*tblRisk[[#This Row],[Likelihood Score]]),"",tblRisk[[#This Row],[Likelihood Score]]*tblRisk[[#This Row],[Impact Score]])</f>
        <v>6</v>
      </c>
      <c r="AH58" s="163">
        <f>tblRisk[[#This Row],[Risk Score]]</f>
        <v>6</v>
      </c>
      <c r="AI58" s="164">
        <f t="shared" si="2"/>
        <v>9</v>
      </c>
      <c r="AJ58" s="164">
        <f>IF(tblRisk[[#This Row],[Safeguard Status]]="In Place",tblRisk[[#This Row],[Control Maturity after SG]],tblRisk[[#This Row],[Control Maturity]])</f>
        <v>4</v>
      </c>
      <c r="AK58" s="173" t="str">
        <f>IF(tblRisk[[#This Row],[Safeguard Status]]="In Place",tblRisk[[#This Row],[Safeguard Threat Cluster]],tblRisk[[#This Row],[Threat Cluster]])</f>
        <v>Physical Facility</v>
      </c>
      <c r="AL58" s="164">
        <f>IF(tblRisk[[#This Row],[Safeguard Status]]="In Place",tblRisk[[#This Row],[Risk Level With Safeguard in Place]],tblRisk[[#This Row],[Risk Level]])</f>
        <v>6</v>
      </c>
      <c r="AM58" s="165" t="s">
        <v>1887</v>
      </c>
      <c r="AN58" s="165" t="str">
        <f>IF(tblRisk[[#This Row],[Risk Treatment Option]]="Manage",_xlfn.IFNA(INDEX(tblRiskTreatmentPrograms[#Data],MATCH(tblRisk[[#This Row],[Common Security Program]]&amp;tblRisk[[#This Row],[Common Security Control]],tblRiskTreatmentPrograms[Lookup],0),MATCH($AN$3,tblRiskTreatmentPrograms[#Headers],0)),txtBadRTP),"")</f>
        <v/>
      </c>
      <c r="AO58" s="165" t="str">
        <f>IF(tblRisk[[#This Row],[Risk Treatment Program]]="","",INDEX(tblRiskTreatmentPrograms[#Data],MATCH(tblRisk[[#This Row],[Risk Treatment Program]],tblRiskTreatmentPrograms[Risk Treatment Program],0),MATCH($AO$3,tblRiskTreatmentPrograms[#Headers],0)))</f>
        <v/>
      </c>
      <c r="AP58" s="165"/>
      <c r="AQ5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58" s="19" t="str">
        <f>tblRisk[[#This Row],[Threat Cluster]]</f>
        <v>Physical Facility</v>
      </c>
      <c r="AS58" s="156">
        <f>IF(ISBLANK(tblRisk[[#This Row],[Safeguard Threat Cluster]]),"",_xlfn.XLOOKUP(tblRisk[[#This Row],[Safeguard Threat Cluster]],tblHIT[Threat Cluster],tblHIT[Quintile]))</f>
        <v>3</v>
      </c>
      <c r="AT58" s="157">
        <f>_xlfn.SWITCH(tblRisk[[#This Row],[Risk Treatment Option]],"Manage",tblRisk[[#This Row],[Control Maturity]]+1,tblRisk[[#This Row],[Control Maturity]])</f>
        <v>4</v>
      </c>
      <c r="AU5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58" s="166">
        <f>IF(ISERROR(tblRisk[[#This Row],[Likelihood of Control Failure after SG]]),"",VLOOKUP(tblRisk[[#This Row],[Likelihood of Control Failure after SG]],tblLikelihood[#Data],2,FALSE))</f>
        <v>2</v>
      </c>
      <c r="AW58" s="159">
        <f>tblRisk[[#This Row],[Impact to Mission]]</f>
        <v>2</v>
      </c>
      <c r="AX58" s="159">
        <f>tblRisk[[#This Row],[Impact to Objectives]]</f>
        <v>2</v>
      </c>
      <c r="AY58" s="159">
        <f>tblRisk[[#This Row],[Impact to Obligations]]</f>
        <v>3</v>
      </c>
      <c r="AZ58" s="166">
        <f>IF(ISBLANK(tblRisk[[#This Row],[Impact to Mission With Safeguard in Place]]),"",MAX(tblRisk[[#This Row],[Impact to Mission With Safeguard in Place]:[Impact to Obligations With Safeguard in Place]]))</f>
        <v>3</v>
      </c>
      <c r="BA58" s="167">
        <f>IF(ISERROR(tblRisk[[#This Row],[Impact Score with Safeguard in Place]]*tblRisk[[#This Row],[Likelihood Score with Safeguard in Place]]),"",tblRisk[[#This Row],[Impact Score with Safeguard in Place]]*tblRisk[[#This Row],[Likelihood Score with Safeguard in Place]])</f>
        <v>6</v>
      </c>
      <c r="BB58" s="164">
        <f>tblRisk[[#This Row],[Risk Score With Safeguard in Place]]</f>
        <v>6</v>
      </c>
      <c r="BC58" s="168" t="str">
        <f>IF(tblRisk[[#This Row],[Risk Treatment Option]]&lt;&gt;"Accept",IF(_xlfn.XLOOKUP(tblRisk[[#This Row],[Specific Safeguard Recommendation]],ProTrak[Task],ProTrak[Status],"Not Found")="Completed","Pending Validation","Pending"),"")</f>
        <v/>
      </c>
      <c r="BD58" s="169" t="str">
        <f>_xlfn.XLOOKUP(tblRisk[[#This Row],[Risk Treatment Program]],tblRiskTreatmentPrograms[Risk Treatment Program],tblRiskTreatmentPrograms[Estimated End Date (MM/DD/YYYY)],"")</f>
        <v/>
      </c>
      <c r="BE58" s="170"/>
      <c r="BF58" s="171" t="str">
        <f>_xlfn.IFNA(IF(tblRisk[[#This Row],[Due Date]]&lt;=vWhatIfQuarter,"Closed",""),"")</f>
        <v/>
      </c>
      <c r="BG58" s="171">
        <f>IF(tblRisk[[#This Row],[Scenario Builder Status]]="Closed",tblRisk[[#This Row],[Risk Score With Safeguard in Place]],tblRisk[[#This Row],[Risk Score]])</f>
        <v>6</v>
      </c>
      <c r="BH58" s="192" t="str">
        <f>tblRisk[[#This Row],[Common Security Program]]&amp;tblRisk[[#This Row],[Common Security Control]]&amp;tblRisk[[#This Row],[Asset Designation ]]</f>
        <v>Vulnerability ManagementOperationApplications</v>
      </c>
      <c r="BI58" s="191"/>
      <c r="BJ58" s="191"/>
      <c r="BK58" s="191"/>
      <c r="BL58" s="191" t="s">
        <v>117</v>
      </c>
      <c r="BM58" s="191" t="s">
        <v>117</v>
      </c>
      <c r="BN58" s="191"/>
      <c r="BO58" s="191" t="s">
        <v>117</v>
      </c>
      <c r="BP58" s="191"/>
      <c r="BQ58" s="191"/>
    </row>
    <row r="59" spans="1:69" ht="299.25" x14ac:dyDescent="0.65">
      <c r="A59" s="160">
        <v>56</v>
      </c>
      <c r="B59" s="160" t="s">
        <v>899</v>
      </c>
      <c r="C59" s="19" t="s">
        <v>938</v>
      </c>
      <c r="D59" s="28" t="s">
        <v>1177</v>
      </c>
      <c r="E59" s="207" t="s">
        <v>1095</v>
      </c>
      <c r="F59" s="194" t="s">
        <v>117</v>
      </c>
      <c r="G59" s="194" t="s">
        <v>117</v>
      </c>
      <c r="H59" s="194" t="s">
        <v>117</v>
      </c>
      <c r="I59" s="194" t="s">
        <v>1081</v>
      </c>
      <c r="J59" s="194" t="s">
        <v>1081</v>
      </c>
      <c r="K59" s="194" t="s">
        <v>1081</v>
      </c>
      <c r="L59" s="194" t="s">
        <v>1081</v>
      </c>
      <c r="M59" s="194" t="s">
        <v>1081</v>
      </c>
      <c r="N59" s="194">
        <f>COUNTIF(tblRisk[[#This Row],[Defends Against Malware]:[Defends Against Targeted Intrusions]],"Yes")</f>
        <v>5</v>
      </c>
      <c r="O59" s="160" t="s">
        <v>22</v>
      </c>
      <c r="P59" s="160" t="s">
        <v>88</v>
      </c>
      <c r="Q59" s="160" t="s">
        <v>611</v>
      </c>
      <c r="R59" s="160" t="s">
        <v>1083</v>
      </c>
      <c r="S59" s="160" t="s">
        <v>1431</v>
      </c>
      <c r="T59" s="160" t="s">
        <v>1429</v>
      </c>
      <c r="U59" s="160" t="s">
        <v>1430</v>
      </c>
      <c r="V59" s="19" t="s">
        <v>1644</v>
      </c>
      <c r="W59" s="160" t="s">
        <v>1770</v>
      </c>
      <c r="X59" s="160" t="s">
        <v>1771</v>
      </c>
      <c r="Y59" s="151">
        <f>IF(ISBLANK(tblRisk[[#This Row],[Threat Cluster]]),"",_xlfn.XLOOKUP(tblRisk[[#This Row],[Threat Cluster]],tblHIT[Threat Cluster],tblHIT[Quintile]))</f>
        <v>3</v>
      </c>
      <c r="Z59" s="152">
        <v>2</v>
      </c>
      <c r="AA59" s="153" t="str">
        <f>IF(OR(ISBLANK(tblRisk[[#This Row],[HIT Quintile]]),ISBLANK(tblRisk[[#This Row],[Control Maturity]])),"",_xlfn.XLOOKUP(tblRisk[[#This Row],[Control Maturity]] &amp; tblRisk[[#This Row],[HIT Quintile]],tblHITWDI[Lookup],tblHITWDI[Likelihood Description]))</f>
        <v>Common</v>
      </c>
      <c r="AB59" s="161">
        <f>IF(ISERROR(tblRisk[[#This Row],[Likelihood of Control Failure]]),"",VLOOKUP(tblRisk[[#This Row],[Likelihood of Control Failure]],tblLikelihood[],2,FALSE))</f>
        <v>4</v>
      </c>
      <c r="AC59" s="154">
        <v>2</v>
      </c>
      <c r="AD59" s="155">
        <v>2</v>
      </c>
      <c r="AE59" s="155">
        <v>3</v>
      </c>
      <c r="AF59" s="162">
        <f>IF(ISBLANK(tblRisk[[#This Row],[Impact to Mission]]),"",MAX(tblRisk[[#This Row],[Impact to Mission]:[Impact to Obligations]]))</f>
        <v>3</v>
      </c>
      <c r="AG59" s="163">
        <f>IF(ISERROR(tblRisk[[#This Row],[Impact Score]]*tblRisk[[#This Row],[Likelihood Score]]),"",tblRisk[[#This Row],[Likelihood Score]]*tblRisk[[#This Row],[Impact Score]])</f>
        <v>12</v>
      </c>
      <c r="AH59" s="163">
        <f>tblRisk[[#This Row],[Risk Score]]</f>
        <v>12</v>
      </c>
      <c r="AI59" s="164">
        <f t="shared" si="2"/>
        <v>9</v>
      </c>
      <c r="AJ59" s="164">
        <f>IF(tblRisk[[#This Row],[Safeguard Status]]="In Place",tblRisk[[#This Row],[Control Maturity after SG]],tblRisk[[#This Row],[Control Maturity]])</f>
        <v>4</v>
      </c>
      <c r="AK59" s="173" t="str">
        <f>IF(tblRisk[[#This Row],[Safeguard Status]]="In Place",tblRisk[[#This Row],[Safeguard Threat Cluster]],tblRisk[[#This Row],[Threat Cluster]])</f>
        <v>Physical Facility</v>
      </c>
      <c r="AL59" s="164">
        <f>IF(tblRisk[[#This Row],[Safeguard Status]]="In Place",tblRisk[[#This Row],[Risk Level With Safeguard in Place]],tblRisk[[#This Row],[Risk Level]])</f>
        <v>6</v>
      </c>
      <c r="AM59" s="165" t="s">
        <v>1564</v>
      </c>
      <c r="AN59"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Vulnerability Management</v>
      </c>
      <c r="AO59"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v>
      </c>
      <c r="AP59" s="165" t="s">
        <v>1890</v>
      </c>
      <c r="AQ5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59" s="19" t="str">
        <f>tblRisk[[#This Row],[Threat Cluster]]</f>
        <v>Physical Facility</v>
      </c>
      <c r="AS59" s="156">
        <f>IF(ISBLANK(tblRisk[[#This Row],[Safeguard Threat Cluster]]),"",_xlfn.XLOOKUP(tblRisk[[#This Row],[Safeguard Threat Cluster]],tblHIT[Threat Cluster],tblHIT[Quintile]))</f>
        <v>3</v>
      </c>
      <c r="AT59" s="157">
        <v>4</v>
      </c>
      <c r="AU5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59" s="166">
        <f>IF(ISERROR(tblRisk[[#This Row],[Likelihood of Control Failure after SG]]),"",VLOOKUP(tblRisk[[#This Row],[Likelihood of Control Failure after SG]],tblLikelihood[#Data],2,FALSE))</f>
        <v>2</v>
      </c>
      <c r="AW59" s="159">
        <f>tblRisk[[#This Row],[Impact to Mission]]</f>
        <v>2</v>
      </c>
      <c r="AX59" s="159">
        <f>tblRisk[[#This Row],[Impact to Objectives]]</f>
        <v>2</v>
      </c>
      <c r="AY59" s="159">
        <f>tblRisk[[#This Row],[Impact to Obligations]]</f>
        <v>3</v>
      </c>
      <c r="AZ59" s="166">
        <f>IF(ISBLANK(tblRisk[[#This Row],[Impact to Mission With Safeguard in Place]]),"",MAX(tblRisk[[#This Row],[Impact to Mission With Safeguard in Place]:[Impact to Obligations With Safeguard in Place]]))</f>
        <v>3</v>
      </c>
      <c r="BA59" s="167">
        <f>IF(ISERROR(tblRisk[[#This Row],[Impact Score with Safeguard in Place]]*tblRisk[[#This Row],[Likelihood Score with Safeguard in Place]]),"",tblRisk[[#This Row],[Impact Score with Safeguard in Place]]*tblRisk[[#This Row],[Likelihood Score with Safeguard in Place]])</f>
        <v>6</v>
      </c>
      <c r="BB59" s="164">
        <f>tblRisk[[#This Row],[Risk Score With Safeguard in Place]]</f>
        <v>6</v>
      </c>
      <c r="BC59" s="168" t="s">
        <v>620</v>
      </c>
      <c r="BD59" s="169" t="str">
        <f>_xlfn.XLOOKUP(tblRisk[[#This Row],[Risk Treatment Program]],tblRiskTreatmentPrograms[Risk Treatment Program],tblRiskTreatmentPrograms[Estimated End Date (MM/DD/YYYY)],"")</f>
        <v>TBD</v>
      </c>
      <c r="BE59" s="170"/>
      <c r="BF59" s="171" t="str">
        <f>_xlfn.IFNA(IF(tblRisk[[#This Row],[Due Date]]&lt;=vWhatIfQuarter,"Closed",""),"")</f>
        <v/>
      </c>
      <c r="BG59" s="171">
        <f>IF(tblRisk[[#This Row],[Scenario Builder Status]]="Closed",tblRisk[[#This Row],[Risk Score With Safeguard in Place]],tblRisk[[#This Row],[Risk Score]])</f>
        <v>12</v>
      </c>
      <c r="BH59" s="192" t="str">
        <f>tblRisk[[#This Row],[Common Security Program]]&amp;tblRisk[[#This Row],[Common Security Control]]&amp;tblRisk[[#This Row],[Asset Designation ]]</f>
        <v>Vulnerability ManagementOperationApplications</v>
      </c>
      <c r="BI59" s="191"/>
      <c r="BJ59" s="191" t="s">
        <v>117</v>
      </c>
      <c r="BK59" s="191"/>
      <c r="BL59" s="191" t="s">
        <v>117</v>
      </c>
      <c r="BM59" s="191" t="s">
        <v>117</v>
      </c>
      <c r="BN59" s="191"/>
      <c r="BO59" s="191" t="s">
        <v>117</v>
      </c>
      <c r="BP59" s="191"/>
      <c r="BQ59" s="191"/>
    </row>
    <row r="60" spans="1:69" ht="299.25" x14ac:dyDescent="0.65">
      <c r="A60" s="160">
        <v>57</v>
      </c>
      <c r="B60" s="160" t="s">
        <v>899</v>
      </c>
      <c r="C60" s="19" t="s">
        <v>939</v>
      </c>
      <c r="D60" s="28" t="s">
        <v>1178</v>
      </c>
      <c r="E60" s="207" t="s">
        <v>1095</v>
      </c>
      <c r="F60" s="194"/>
      <c r="G60" s="194" t="s">
        <v>117</v>
      </c>
      <c r="H60" s="194" t="s">
        <v>117</v>
      </c>
      <c r="I60" s="194" t="s">
        <v>1081</v>
      </c>
      <c r="J60" s="194" t="s">
        <v>1081</v>
      </c>
      <c r="K60" s="194" t="s">
        <v>1081</v>
      </c>
      <c r="L60" s="194" t="s">
        <v>1081</v>
      </c>
      <c r="M60" s="194" t="s">
        <v>1081</v>
      </c>
      <c r="N60" s="194">
        <f>COUNTIF(tblRisk[[#This Row],[Defends Against Malware]:[Defends Against Targeted Intrusions]],"Yes")</f>
        <v>5</v>
      </c>
      <c r="O60" s="160" t="s">
        <v>22</v>
      </c>
      <c r="P60" s="160" t="s">
        <v>88</v>
      </c>
      <c r="Q60" s="160" t="s">
        <v>30</v>
      </c>
      <c r="R60" s="160" t="s">
        <v>1083</v>
      </c>
      <c r="S60" s="160" t="s">
        <v>1431</v>
      </c>
      <c r="T60" s="160" t="s">
        <v>1429</v>
      </c>
      <c r="U60" s="160" t="s">
        <v>1430</v>
      </c>
      <c r="V60" s="19" t="s">
        <v>1645</v>
      </c>
      <c r="W60" s="160" t="s">
        <v>1772</v>
      </c>
      <c r="X60" s="160" t="s">
        <v>1773</v>
      </c>
      <c r="Y60" s="151">
        <f>IF(ISBLANK(tblRisk[[#This Row],[Threat Cluster]]),"",_xlfn.XLOOKUP(tblRisk[[#This Row],[Threat Cluster]],tblHIT[Threat Cluster],tblHIT[Quintile]))</f>
        <v>2</v>
      </c>
      <c r="Z60" s="152">
        <v>2</v>
      </c>
      <c r="AA60" s="153" t="str">
        <f>IF(OR(ISBLANK(tblRisk[[#This Row],[HIT Quintile]]),ISBLANK(tblRisk[[#This Row],[Control Maturity]])),"",_xlfn.XLOOKUP(tblRisk[[#This Row],[Control Maturity]] &amp; tblRisk[[#This Row],[HIT Quintile]],tblHITWDI[Lookup],tblHITWDI[Likelihood Description]))</f>
        <v>Common</v>
      </c>
      <c r="AB60" s="161">
        <f>IF(ISERROR(tblRisk[[#This Row],[Likelihood of Control Failure]]),"",VLOOKUP(tblRisk[[#This Row],[Likelihood of Control Failure]],tblLikelihood[],2,FALSE))</f>
        <v>4</v>
      </c>
      <c r="AC60" s="154">
        <v>2</v>
      </c>
      <c r="AD60" s="155">
        <v>2</v>
      </c>
      <c r="AE60" s="155">
        <v>3</v>
      </c>
      <c r="AF60" s="162">
        <f>IF(ISBLANK(tblRisk[[#This Row],[Impact to Mission]]),"",MAX(tblRisk[[#This Row],[Impact to Mission]:[Impact to Obligations]]))</f>
        <v>3</v>
      </c>
      <c r="AG60" s="163">
        <f>IF(ISERROR(tblRisk[[#This Row],[Impact Score]]*tblRisk[[#This Row],[Likelihood Score]]),"",tblRisk[[#This Row],[Likelihood Score]]*tblRisk[[#This Row],[Impact Score]])</f>
        <v>12</v>
      </c>
      <c r="AH60" s="163">
        <f>tblRisk[[#This Row],[Risk Score]]</f>
        <v>12</v>
      </c>
      <c r="AI60" s="164">
        <f t="shared" si="2"/>
        <v>9</v>
      </c>
      <c r="AJ60" s="164">
        <f>IF(tblRisk[[#This Row],[Safeguard Status]]="In Place",tblRisk[[#This Row],[Control Maturity after SG]],tblRisk[[#This Row],[Control Maturity]])</f>
        <v>2</v>
      </c>
      <c r="AK60" s="173" t="str">
        <f>IF(tblRisk[[#This Row],[Safeguard Status]]="In Place",tblRisk[[#This Row],[Safeguard Threat Cluster]],tblRisk[[#This Row],[Threat Cluster]])</f>
        <v>Hacking System</v>
      </c>
      <c r="AL60" s="164">
        <f>IF(tblRisk[[#This Row],[Safeguard Status]]="In Place",tblRisk[[#This Row],[Risk Level With Safeguard in Place]],tblRisk[[#This Row],[Risk Level]])</f>
        <v>12</v>
      </c>
      <c r="AM60" s="165" t="s">
        <v>1564</v>
      </c>
      <c r="AN60"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Vulnerability Management</v>
      </c>
      <c r="AO60"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v>
      </c>
      <c r="AP60" s="165" t="s">
        <v>1891</v>
      </c>
      <c r="AQ6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60" s="19" t="str">
        <f>tblRisk[[#This Row],[Threat Cluster]]</f>
        <v>Hacking System</v>
      </c>
      <c r="AS60" s="156">
        <f>IF(ISBLANK(tblRisk[[#This Row],[Safeguard Threat Cluster]]),"",_xlfn.XLOOKUP(tblRisk[[#This Row],[Safeguard Threat Cluster]],tblHIT[Threat Cluster],tblHIT[Quintile]))</f>
        <v>2</v>
      </c>
      <c r="AT60" s="157">
        <v>4</v>
      </c>
      <c r="AU6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0" s="166">
        <f>IF(ISERROR(tblRisk[[#This Row],[Likelihood of Control Failure after SG]]),"",VLOOKUP(tblRisk[[#This Row],[Likelihood of Control Failure after SG]],tblLikelihood[#Data],2,FALSE))</f>
        <v>2</v>
      </c>
      <c r="AW60" s="159">
        <f>tblRisk[[#This Row],[Impact to Mission]]</f>
        <v>2</v>
      </c>
      <c r="AX60" s="159">
        <f>tblRisk[[#This Row],[Impact to Objectives]]</f>
        <v>2</v>
      </c>
      <c r="AY60" s="159">
        <f>tblRisk[[#This Row],[Impact to Obligations]]</f>
        <v>3</v>
      </c>
      <c r="AZ60" s="166">
        <f>IF(ISBLANK(tblRisk[[#This Row],[Impact to Mission With Safeguard in Place]]),"",MAX(tblRisk[[#This Row],[Impact to Mission With Safeguard in Place]:[Impact to Obligations With Safeguard in Place]]))</f>
        <v>3</v>
      </c>
      <c r="BA60" s="167">
        <f>IF(ISERROR(tblRisk[[#This Row],[Impact Score with Safeguard in Place]]*tblRisk[[#This Row],[Likelihood Score with Safeguard in Place]]),"",tblRisk[[#This Row],[Impact Score with Safeguard in Place]]*tblRisk[[#This Row],[Likelihood Score with Safeguard in Place]])</f>
        <v>6</v>
      </c>
      <c r="BB60" s="164">
        <f>tblRisk[[#This Row],[Risk Score With Safeguard in Place]]</f>
        <v>6</v>
      </c>
      <c r="BC60" s="168" t="str">
        <f>IF(tblRisk[[#This Row],[Risk Treatment Option]]&lt;&gt;"Accept",IF(_xlfn.XLOOKUP(tblRisk[[#This Row],[Specific Safeguard Recommendation]],ProTrak[Task],ProTrak[Status],"Not Found")="Completed","Pending Validation","Pending"),"")</f>
        <v>Pending</v>
      </c>
      <c r="BD60" s="169" t="str">
        <f>_xlfn.XLOOKUP(tblRisk[[#This Row],[Risk Treatment Program]],tblRiskTreatmentPrograms[Risk Treatment Program],tblRiskTreatmentPrograms[Estimated End Date (MM/DD/YYYY)],"")</f>
        <v>TBD</v>
      </c>
      <c r="BE60" s="170"/>
      <c r="BF60" s="171" t="str">
        <f>_xlfn.IFNA(IF(tblRisk[[#This Row],[Due Date]]&lt;=vWhatIfQuarter,"Closed",""),"")</f>
        <v/>
      </c>
      <c r="BG60" s="171">
        <f>IF(tblRisk[[#This Row],[Scenario Builder Status]]="Closed",tblRisk[[#This Row],[Risk Score With Safeguard in Place]],tblRisk[[#This Row],[Risk Score]])</f>
        <v>12</v>
      </c>
      <c r="BH60" s="192" t="str">
        <f>tblRisk[[#This Row],[Common Security Program]]&amp;tblRisk[[#This Row],[Common Security Control]]&amp;tblRisk[[#This Row],[Asset Designation ]]</f>
        <v>Vulnerability ManagementOperationApplications</v>
      </c>
      <c r="BI60" s="191"/>
      <c r="BJ60" s="191"/>
      <c r="BK60" s="191"/>
      <c r="BL60" s="191" t="s">
        <v>117</v>
      </c>
      <c r="BM60" s="191" t="s">
        <v>117</v>
      </c>
      <c r="BN60" s="191"/>
      <c r="BO60" s="191" t="s">
        <v>117</v>
      </c>
      <c r="BP60" s="191"/>
      <c r="BQ60" s="191"/>
    </row>
    <row r="61" spans="1:69" ht="299.25" x14ac:dyDescent="0.65">
      <c r="A61" s="160">
        <v>58</v>
      </c>
      <c r="B61" s="160" t="s">
        <v>899</v>
      </c>
      <c r="C61" s="19" t="s">
        <v>940</v>
      </c>
      <c r="D61" s="28" t="s">
        <v>1179</v>
      </c>
      <c r="E61" s="207" t="s">
        <v>1095</v>
      </c>
      <c r="F61" s="194"/>
      <c r="G61" s="194" t="s">
        <v>117</v>
      </c>
      <c r="H61" s="194" t="s">
        <v>117</v>
      </c>
      <c r="I61" s="194" t="s">
        <v>1081</v>
      </c>
      <c r="J61" s="194" t="s">
        <v>1081</v>
      </c>
      <c r="K61" s="194" t="s">
        <v>1081</v>
      </c>
      <c r="L61" s="194" t="s">
        <v>1081</v>
      </c>
      <c r="M61" s="194" t="s">
        <v>1081</v>
      </c>
      <c r="N61" s="194">
        <f>COUNTIF(tblRisk[[#This Row],[Defends Against Malware]:[Defends Against Targeted Intrusions]],"Yes")</f>
        <v>5</v>
      </c>
      <c r="O61" s="160" t="s">
        <v>22</v>
      </c>
      <c r="P61" s="160" t="s">
        <v>88</v>
      </c>
      <c r="Q61" s="160" t="s">
        <v>30</v>
      </c>
      <c r="R61" s="160" t="s">
        <v>1083</v>
      </c>
      <c r="S61" s="160" t="s">
        <v>1431</v>
      </c>
      <c r="T61" s="160" t="s">
        <v>1429</v>
      </c>
      <c r="U61" s="160" t="s">
        <v>1430</v>
      </c>
      <c r="V61" s="160" t="s">
        <v>1592</v>
      </c>
      <c r="W61" s="160" t="s">
        <v>1709</v>
      </c>
      <c r="X61" s="160" t="s">
        <v>1774</v>
      </c>
      <c r="Y61" s="151">
        <f>IF(ISBLANK(tblRisk[[#This Row],[Threat Cluster]]),"",_xlfn.XLOOKUP(tblRisk[[#This Row],[Threat Cluster]],tblHIT[Threat Cluster],tblHIT[Quintile]))</f>
        <v>2</v>
      </c>
      <c r="Z61" s="152">
        <v>4</v>
      </c>
      <c r="AA61" s="153" t="str">
        <f>IF(OR(ISBLANK(tblRisk[[#This Row],[HIT Quintile]]),ISBLANK(tblRisk[[#This Row],[Control Maturity]])),"",_xlfn.XLOOKUP(tblRisk[[#This Row],[Control Maturity]] &amp; tblRisk[[#This Row],[HIT Quintile]],tblHITWDI[Lookup],tblHITWDI[Likelihood Description]))</f>
        <v>Foreseeable, not expected</v>
      </c>
      <c r="AB61" s="161">
        <f>IF(ISERROR(tblRisk[[#This Row],[Likelihood of Control Failure]]),"",VLOOKUP(tblRisk[[#This Row],[Likelihood of Control Failure]],tblLikelihood[],2,FALSE))</f>
        <v>2</v>
      </c>
      <c r="AC61" s="154">
        <v>2</v>
      </c>
      <c r="AD61" s="155">
        <v>2</v>
      </c>
      <c r="AE61" s="155">
        <v>3</v>
      </c>
      <c r="AF61" s="162">
        <f>IF(ISBLANK(tblRisk[[#This Row],[Impact to Mission]]),"",MAX(tblRisk[[#This Row],[Impact to Mission]:[Impact to Obligations]]))</f>
        <v>3</v>
      </c>
      <c r="AG61" s="163">
        <f>IF(ISERROR(tblRisk[[#This Row],[Impact Score]]*tblRisk[[#This Row],[Likelihood Score]]),"",tblRisk[[#This Row],[Likelihood Score]]*tblRisk[[#This Row],[Impact Score]])</f>
        <v>6</v>
      </c>
      <c r="AH61" s="163">
        <f>tblRisk[[#This Row],[Risk Score]]</f>
        <v>6</v>
      </c>
      <c r="AI61" s="164">
        <f t="shared" si="2"/>
        <v>9</v>
      </c>
      <c r="AJ61" s="164">
        <f>IF(tblRisk[[#This Row],[Safeguard Status]]="In Place",tblRisk[[#This Row],[Control Maturity after SG]],tblRisk[[#This Row],[Control Maturity]])</f>
        <v>4</v>
      </c>
      <c r="AK61" s="173" t="str">
        <f>IF(tblRisk[[#This Row],[Safeguard Status]]="In Place",tblRisk[[#This Row],[Safeguard Threat Cluster]],tblRisk[[#This Row],[Threat Cluster]])</f>
        <v>Hacking System</v>
      </c>
      <c r="AL61" s="164">
        <f>IF(tblRisk[[#This Row],[Safeguard Status]]="In Place",tblRisk[[#This Row],[Risk Level With Safeguard in Place]],tblRisk[[#This Row],[Risk Level]])</f>
        <v>6</v>
      </c>
      <c r="AM61" s="165" t="s">
        <v>1887</v>
      </c>
      <c r="AN61" s="165" t="str">
        <f>IF(tblRisk[[#This Row],[Risk Treatment Option]]="Manage",_xlfn.IFNA(INDEX(tblRiskTreatmentPrograms[#Data],MATCH(tblRisk[[#This Row],[Common Security Program]]&amp;tblRisk[[#This Row],[Common Security Control]],tblRiskTreatmentPrograms[Lookup],0),MATCH($AN$3,tblRiskTreatmentPrograms[#Headers],0)),txtBadRTP),"")</f>
        <v/>
      </c>
      <c r="AO61" s="165" t="str">
        <f>IF(tblRisk[[#This Row],[Risk Treatment Program]]="","",INDEX(tblRiskTreatmentPrograms[#Data],MATCH(tblRisk[[#This Row],[Risk Treatment Program]],tblRiskTreatmentPrograms[Risk Treatment Program],0),MATCH($AO$3,tblRiskTreatmentPrograms[#Headers],0)))</f>
        <v/>
      </c>
      <c r="AP61" s="165"/>
      <c r="AQ6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1" s="19" t="str">
        <f>tblRisk[[#This Row],[Threat Cluster]]</f>
        <v>Hacking System</v>
      </c>
      <c r="AS61" s="156">
        <f>IF(ISBLANK(tblRisk[[#This Row],[Safeguard Threat Cluster]]),"",_xlfn.XLOOKUP(tblRisk[[#This Row],[Safeguard Threat Cluster]],tblHIT[Threat Cluster],tblHIT[Quintile]))</f>
        <v>2</v>
      </c>
      <c r="AT61" s="157">
        <f>_xlfn.SWITCH(tblRisk[[#This Row],[Risk Treatment Option]],"Manage",tblRisk[[#This Row],[Control Maturity]]+1,tblRisk[[#This Row],[Control Maturity]])</f>
        <v>4</v>
      </c>
      <c r="AU6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1" s="166">
        <f>IF(ISERROR(tblRisk[[#This Row],[Likelihood of Control Failure after SG]]),"",VLOOKUP(tblRisk[[#This Row],[Likelihood of Control Failure after SG]],tblLikelihood[#Data],2,FALSE))</f>
        <v>2</v>
      </c>
      <c r="AW61" s="159">
        <f>tblRisk[[#This Row],[Impact to Mission]]</f>
        <v>2</v>
      </c>
      <c r="AX61" s="159">
        <f>tblRisk[[#This Row],[Impact to Objectives]]</f>
        <v>2</v>
      </c>
      <c r="AY61" s="159">
        <f>tblRisk[[#This Row],[Impact to Obligations]]</f>
        <v>3</v>
      </c>
      <c r="AZ61" s="166">
        <f>IF(ISBLANK(tblRisk[[#This Row],[Impact to Mission With Safeguard in Place]]),"",MAX(tblRisk[[#This Row],[Impact to Mission With Safeguard in Place]:[Impact to Obligations With Safeguard in Place]]))</f>
        <v>3</v>
      </c>
      <c r="BA61" s="167">
        <f>IF(ISERROR(tblRisk[[#This Row],[Impact Score with Safeguard in Place]]*tblRisk[[#This Row],[Likelihood Score with Safeguard in Place]]),"",tblRisk[[#This Row],[Impact Score with Safeguard in Place]]*tblRisk[[#This Row],[Likelihood Score with Safeguard in Place]])</f>
        <v>6</v>
      </c>
      <c r="BB61" s="164">
        <f>tblRisk[[#This Row],[Risk Score With Safeguard in Place]]</f>
        <v>6</v>
      </c>
      <c r="BC61" s="168" t="str">
        <f>IF(tblRisk[[#This Row],[Risk Treatment Option]]&lt;&gt;"Accept",IF(_xlfn.XLOOKUP(tblRisk[[#This Row],[Specific Safeguard Recommendation]],ProTrak[Task],ProTrak[Status],"Not Found")="Completed","Pending Validation","Pending"),"")</f>
        <v/>
      </c>
      <c r="BD61" s="169" t="str">
        <f>_xlfn.XLOOKUP(tblRisk[[#This Row],[Risk Treatment Program]],tblRiskTreatmentPrograms[Risk Treatment Program],tblRiskTreatmentPrograms[Estimated End Date (MM/DD/YYYY)],"")</f>
        <v/>
      </c>
      <c r="BE61" s="170"/>
      <c r="BF61" s="171" t="str">
        <f>_xlfn.IFNA(IF(tblRisk[[#This Row],[Due Date]]&lt;=vWhatIfQuarter,"Closed",""),"")</f>
        <v/>
      </c>
      <c r="BG61" s="171">
        <f>IF(tblRisk[[#This Row],[Scenario Builder Status]]="Closed",tblRisk[[#This Row],[Risk Score With Safeguard in Place]],tblRisk[[#This Row],[Risk Score]])</f>
        <v>6</v>
      </c>
      <c r="BH61" s="192" t="str">
        <f>tblRisk[[#This Row],[Common Security Program]]&amp;tblRisk[[#This Row],[Common Security Control]]&amp;tblRisk[[#This Row],[Asset Designation ]]</f>
        <v>Vulnerability ManagementOperationApplications</v>
      </c>
      <c r="BI61" s="191"/>
      <c r="BJ61" s="191"/>
      <c r="BK61" s="191"/>
      <c r="BL61" s="191" t="s">
        <v>117</v>
      </c>
      <c r="BM61" s="191" t="s">
        <v>117</v>
      </c>
      <c r="BN61" s="191"/>
      <c r="BO61" s="191" t="s">
        <v>117</v>
      </c>
      <c r="BP61" s="191"/>
      <c r="BQ61" s="191"/>
    </row>
    <row r="62" spans="1:69" ht="299.25" x14ac:dyDescent="0.65">
      <c r="A62" s="160">
        <v>59</v>
      </c>
      <c r="B62" s="160" t="s">
        <v>899</v>
      </c>
      <c r="C62" s="19" t="s">
        <v>941</v>
      </c>
      <c r="D62" s="28" t="s">
        <v>1180</v>
      </c>
      <c r="E62" s="207" t="s">
        <v>1095</v>
      </c>
      <c r="F62" s="194"/>
      <c r="G62" s="194" t="s">
        <v>117</v>
      </c>
      <c r="H62" s="194" t="s">
        <v>117</v>
      </c>
      <c r="I62" s="194" t="s">
        <v>1081</v>
      </c>
      <c r="J62" s="194" t="s">
        <v>1081</v>
      </c>
      <c r="K62" s="194" t="s">
        <v>1081</v>
      </c>
      <c r="L62" s="194" t="s">
        <v>1081</v>
      </c>
      <c r="M62" s="194" t="s">
        <v>1081</v>
      </c>
      <c r="N62" s="194">
        <f>COUNTIF(tblRisk[[#This Row],[Defends Against Malware]:[Defends Against Targeted Intrusions]],"Yes")</f>
        <v>5</v>
      </c>
      <c r="O62" s="160" t="s">
        <v>22</v>
      </c>
      <c r="P62" s="160" t="s">
        <v>88</v>
      </c>
      <c r="Q62" s="160" t="s">
        <v>611</v>
      </c>
      <c r="R62" s="160" t="s">
        <v>1083</v>
      </c>
      <c r="S62" s="160" t="s">
        <v>1431</v>
      </c>
      <c r="T62" s="160" t="s">
        <v>1429</v>
      </c>
      <c r="U62" s="160" t="s">
        <v>1430</v>
      </c>
      <c r="V62" s="19" t="s">
        <v>1909</v>
      </c>
      <c r="W62" s="160" t="s">
        <v>1886</v>
      </c>
      <c r="X62" s="160" t="s">
        <v>1775</v>
      </c>
      <c r="Y62" s="151">
        <f>IF(ISBLANK(tblRisk[[#This Row],[Threat Cluster]]),"",_xlfn.XLOOKUP(tblRisk[[#This Row],[Threat Cluster]],tblHIT[Threat Cluster],tblHIT[Quintile]))</f>
        <v>3</v>
      </c>
      <c r="Z62" s="152">
        <v>2</v>
      </c>
      <c r="AA62" s="153" t="str">
        <f>IF(OR(ISBLANK(tblRisk[[#This Row],[HIT Quintile]]),ISBLANK(tblRisk[[#This Row],[Control Maturity]])),"",_xlfn.XLOOKUP(tblRisk[[#This Row],[Control Maturity]] &amp; tblRisk[[#This Row],[HIT Quintile]],tblHITWDI[Lookup],tblHITWDI[Likelihood Description]))</f>
        <v>Common</v>
      </c>
      <c r="AB62" s="161">
        <f>IF(ISERROR(tblRisk[[#This Row],[Likelihood of Control Failure]]),"",VLOOKUP(tblRisk[[#This Row],[Likelihood of Control Failure]],tblLikelihood[],2,FALSE))</f>
        <v>4</v>
      </c>
      <c r="AC62" s="154">
        <v>2</v>
      </c>
      <c r="AD62" s="155">
        <v>2</v>
      </c>
      <c r="AE62" s="155">
        <v>3</v>
      </c>
      <c r="AF62" s="162">
        <f>IF(ISBLANK(tblRisk[[#This Row],[Impact to Mission]]),"",MAX(tblRisk[[#This Row],[Impact to Mission]:[Impact to Obligations]]))</f>
        <v>3</v>
      </c>
      <c r="AG62" s="163">
        <f>IF(ISERROR(tblRisk[[#This Row],[Impact Score]]*tblRisk[[#This Row],[Likelihood Score]]),"",tblRisk[[#This Row],[Likelihood Score]]*tblRisk[[#This Row],[Impact Score]])</f>
        <v>12</v>
      </c>
      <c r="AH62" s="163">
        <f>tblRisk[[#This Row],[Risk Score]]</f>
        <v>12</v>
      </c>
      <c r="AI62" s="164">
        <f t="shared" si="2"/>
        <v>9</v>
      </c>
      <c r="AJ62" s="164">
        <f>IF(tblRisk[[#This Row],[Safeguard Status]]="In Place",tblRisk[[#This Row],[Control Maturity after SG]],tblRisk[[#This Row],[Control Maturity]])</f>
        <v>4</v>
      </c>
      <c r="AK62" s="173" t="str">
        <f>IF(tblRisk[[#This Row],[Safeguard Status]]="In Place",tblRisk[[#This Row],[Safeguard Threat Cluster]],tblRisk[[#This Row],[Threat Cluster]])</f>
        <v>Physical Facility</v>
      </c>
      <c r="AL62" s="164">
        <f>IF(tblRisk[[#This Row],[Safeguard Status]]="In Place",tblRisk[[#This Row],[Risk Level With Safeguard in Place]],tblRisk[[#This Row],[Risk Level]])</f>
        <v>6</v>
      </c>
      <c r="AM62" s="165" t="s">
        <v>1564</v>
      </c>
      <c r="AN62"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Vulnerability Management</v>
      </c>
      <c r="AO62"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v>
      </c>
      <c r="AP62" s="165" t="s">
        <v>1892</v>
      </c>
      <c r="AQ6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62" s="19" t="str">
        <f>tblRisk[[#This Row],[Threat Cluster]]</f>
        <v>Physical Facility</v>
      </c>
      <c r="AS62" s="156">
        <f>IF(ISBLANK(tblRisk[[#This Row],[Safeguard Threat Cluster]]),"",_xlfn.XLOOKUP(tblRisk[[#This Row],[Safeguard Threat Cluster]],tblHIT[Threat Cluster],tblHIT[Quintile]))</f>
        <v>3</v>
      </c>
      <c r="AT62" s="157">
        <v>4</v>
      </c>
      <c r="AU6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2" s="166">
        <f>IF(ISERROR(tblRisk[[#This Row],[Likelihood of Control Failure after SG]]),"",VLOOKUP(tblRisk[[#This Row],[Likelihood of Control Failure after SG]],tblLikelihood[#Data],2,FALSE))</f>
        <v>2</v>
      </c>
      <c r="AW62" s="159">
        <f>tblRisk[[#This Row],[Impact to Mission]]</f>
        <v>2</v>
      </c>
      <c r="AX62" s="159">
        <f>tblRisk[[#This Row],[Impact to Objectives]]</f>
        <v>2</v>
      </c>
      <c r="AY62" s="159">
        <f>tblRisk[[#This Row],[Impact to Obligations]]</f>
        <v>3</v>
      </c>
      <c r="AZ62" s="166">
        <f>IF(ISBLANK(tblRisk[[#This Row],[Impact to Mission With Safeguard in Place]]),"",MAX(tblRisk[[#This Row],[Impact to Mission With Safeguard in Place]:[Impact to Obligations With Safeguard in Place]]))</f>
        <v>3</v>
      </c>
      <c r="BA62" s="167">
        <f>IF(ISERROR(tblRisk[[#This Row],[Impact Score with Safeguard in Place]]*tblRisk[[#This Row],[Likelihood Score with Safeguard in Place]]),"",tblRisk[[#This Row],[Impact Score with Safeguard in Place]]*tblRisk[[#This Row],[Likelihood Score with Safeguard in Place]])</f>
        <v>6</v>
      </c>
      <c r="BB62" s="164">
        <f>tblRisk[[#This Row],[Risk Score With Safeguard in Place]]</f>
        <v>6</v>
      </c>
      <c r="BC62" s="168" t="s">
        <v>620</v>
      </c>
      <c r="BD62" s="169" t="str">
        <f>_xlfn.XLOOKUP(tblRisk[[#This Row],[Risk Treatment Program]],tblRiskTreatmentPrograms[Risk Treatment Program],tblRiskTreatmentPrograms[Estimated End Date (MM/DD/YYYY)],"")</f>
        <v>TBD</v>
      </c>
      <c r="BE62" s="170"/>
      <c r="BF62" s="171" t="str">
        <f>_xlfn.IFNA(IF(tblRisk[[#This Row],[Due Date]]&lt;=vWhatIfQuarter,"Closed",""),"")</f>
        <v/>
      </c>
      <c r="BG62" s="171">
        <f>IF(tblRisk[[#This Row],[Scenario Builder Status]]="Closed",tblRisk[[#This Row],[Risk Score With Safeguard in Place]],tblRisk[[#This Row],[Risk Score]])</f>
        <v>12</v>
      </c>
      <c r="BH62" s="192" t="str">
        <f>tblRisk[[#This Row],[Common Security Program]]&amp;tblRisk[[#This Row],[Common Security Control]]&amp;tblRisk[[#This Row],[Asset Designation ]]</f>
        <v>Vulnerability ManagementOperationApplications</v>
      </c>
      <c r="BI62" s="191"/>
      <c r="BJ62" s="191"/>
      <c r="BK62" s="191"/>
      <c r="BL62" s="191" t="s">
        <v>117</v>
      </c>
      <c r="BM62" s="191" t="s">
        <v>117</v>
      </c>
      <c r="BN62" s="191"/>
      <c r="BO62" s="191" t="s">
        <v>117</v>
      </c>
      <c r="BP62" s="191"/>
      <c r="BQ62" s="191"/>
    </row>
    <row r="63" spans="1:69" ht="110.25" x14ac:dyDescent="0.65">
      <c r="A63" s="160">
        <v>60</v>
      </c>
      <c r="B63" s="160" t="s">
        <v>899</v>
      </c>
      <c r="C63" s="19" t="s">
        <v>1033</v>
      </c>
      <c r="D63" s="28" t="s">
        <v>1181</v>
      </c>
      <c r="E63" s="207" t="s">
        <v>1096</v>
      </c>
      <c r="F63" s="194" t="s">
        <v>117</v>
      </c>
      <c r="G63" s="194" t="s">
        <v>117</v>
      </c>
      <c r="H63" s="194" t="s">
        <v>117</v>
      </c>
      <c r="I63" s="194" t="s">
        <v>1081</v>
      </c>
      <c r="J63" s="194" t="s">
        <v>1081</v>
      </c>
      <c r="K63" s="194" t="s">
        <v>1081</v>
      </c>
      <c r="L63" s="194" t="s">
        <v>1081</v>
      </c>
      <c r="M63" s="194" t="s">
        <v>1081</v>
      </c>
      <c r="N63" s="194">
        <f>COUNTIF(tblRisk[[#This Row],[Defends Against Malware]:[Defends Against Targeted Intrusions]],"Yes")</f>
        <v>5</v>
      </c>
      <c r="O63" s="160" t="s">
        <v>21</v>
      </c>
      <c r="P63" s="160" t="s">
        <v>86</v>
      </c>
      <c r="Q63" s="160" t="s">
        <v>611</v>
      </c>
      <c r="R63" s="160" t="s">
        <v>1085</v>
      </c>
      <c r="S63" s="160" t="s">
        <v>1424</v>
      </c>
      <c r="T63" s="160" t="s">
        <v>1422</v>
      </c>
      <c r="U63" s="160" t="s">
        <v>1423</v>
      </c>
      <c r="V63" s="19" t="s">
        <v>1646</v>
      </c>
      <c r="W63" s="160" t="s">
        <v>1709</v>
      </c>
      <c r="X63" s="160" t="s">
        <v>1776</v>
      </c>
      <c r="Y63" s="151">
        <f>IF(ISBLANK(tblRisk[[#This Row],[Threat Cluster]]),"",_xlfn.XLOOKUP(tblRisk[[#This Row],[Threat Cluster]],tblHIT[Threat Cluster],tblHIT[Quintile]))</f>
        <v>3</v>
      </c>
      <c r="Z63" s="152">
        <v>4</v>
      </c>
      <c r="AA63" s="153" t="str">
        <f>IF(OR(ISBLANK(tblRisk[[#This Row],[HIT Quintile]]),ISBLANK(tblRisk[[#This Row],[Control Maturity]])),"",_xlfn.XLOOKUP(tblRisk[[#This Row],[Control Maturity]] &amp; tblRisk[[#This Row],[HIT Quintile]],tblHITWDI[Lookup],tblHITWDI[Likelihood Description]))</f>
        <v>Foreseeable, not expected</v>
      </c>
      <c r="AB63" s="161">
        <f>IF(ISERROR(tblRisk[[#This Row],[Likelihood of Control Failure]]),"",VLOOKUP(tblRisk[[#This Row],[Likelihood of Control Failure]],tblLikelihood[],2,FALSE))</f>
        <v>2</v>
      </c>
      <c r="AC63" s="154">
        <v>2</v>
      </c>
      <c r="AD63" s="155">
        <v>2</v>
      </c>
      <c r="AE63" s="155">
        <v>3</v>
      </c>
      <c r="AF63" s="162">
        <f>IF(ISBLANK(tblRisk[[#This Row],[Impact to Mission]]),"",MAX(tblRisk[[#This Row],[Impact to Mission]:[Impact to Obligations]]))</f>
        <v>3</v>
      </c>
      <c r="AG63" s="163">
        <f>IF(ISERROR(tblRisk[[#This Row],[Impact Score]]*tblRisk[[#This Row],[Likelihood Score]]),"",tblRisk[[#This Row],[Likelihood Score]]*tblRisk[[#This Row],[Impact Score]])</f>
        <v>6</v>
      </c>
      <c r="AH63" s="163">
        <f>tblRisk[[#This Row],[Risk Score]]</f>
        <v>6</v>
      </c>
      <c r="AI63" s="164">
        <f t="shared" si="2"/>
        <v>9</v>
      </c>
      <c r="AJ63" s="164">
        <f>IF(tblRisk[[#This Row],[Safeguard Status]]="In Place",tblRisk[[#This Row],[Control Maturity after SG]],tblRisk[[#This Row],[Control Maturity]])</f>
        <v>4</v>
      </c>
      <c r="AK63" s="173" t="str">
        <f>IF(tblRisk[[#This Row],[Safeguard Status]]="In Place",tblRisk[[#This Row],[Safeguard Threat Cluster]],tblRisk[[#This Row],[Threat Cluster]])</f>
        <v>Physical Facility</v>
      </c>
      <c r="AL63" s="164">
        <f>IF(tblRisk[[#This Row],[Safeguard Status]]="In Place",tblRisk[[#This Row],[Risk Level With Safeguard in Place]],tblRisk[[#This Row],[Risk Level]])</f>
        <v>6</v>
      </c>
      <c r="AM63" s="165" t="s">
        <v>1887</v>
      </c>
      <c r="AN63" s="165" t="str">
        <f>IF(tblRisk[[#This Row],[Risk Treatment Option]]="Manage",_xlfn.IFNA(INDEX(tblRiskTreatmentPrograms[#Data],MATCH(tblRisk[[#This Row],[Common Security Program]]&amp;tblRisk[[#This Row],[Common Security Control]],tblRiskTreatmentPrograms[Lookup],0),MATCH($AN$3,tblRiskTreatmentPrograms[#Headers],0)),txtBadRTP),"")</f>
        <v/>
      </c>
      <c r="AO63" s="165" t="str">
        <f>IF(tblRisk[[#This Row],[Risk Treatment Program]]="","",INDEX(tblRiskTreatmentPrograms[#Data],MATCH(tblRisk[[#This Row],[Risk Treatment Program]],tblRiskTreatmentPrograms[Risk Treatment Program],0),MATCH($AO$3,tblRiskTreatmentPrograms[#Headers],0)))</f>
        <v/>
      </c>
      <c r="AP63" s="165"/>
      <c r="AQ6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3" s="19" t="str">
        <f>tblRisk[[#This Row],[Threat Cluster]]</f>
        <v>Physical Facility</v>
      </c>
      <c r="AS63" s="156">
        <f>IF(ISBLANK(tblRisk[[#This Row],[Safeguard Threat Cluster]]),"",_xlfn.XLOOKUP(tblRisk[[#This Row],[Safeguard Threat Cluster]],tblHIT[Threat Cluster],tblHIT[Quintile]))</f>
        <v>3</v>
      </c>
      <c r="AT63" s="157">
        <f>_xlfn.SWITCH(tblRisk[[#This Row],[Risk Treatment Option]],"Manage",tblRisk[[#This Row],[Control Maturity]]+1,tblRisk[[#This Row],[Control Maturity]])</f>
        <v>4</v>
      </c>
      <c r="AU6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3" s="166">
        <f>IF(ISERROR(tblRisk[[#This Row],[Likelihood of Control Failure after SG]]),"",VLOOKUP(tblRisk[[#This Row],[Likelihood of Control Failure after SG]],tblLikelihood[#Data],2,FALSE))</f>
        <v>2</v>
      </c>
      <c r="AW63" s="159">
        <f>tblRisk[[#This Row],[Impact to Mission]]</f>
        <v>2</v>
      </c>
      <c r="AX63" s="159">
        <f>tblRisk[[#This Row],[Impact to Objectives]]</f>
        <v>2</v>
      </c>
      <c r="AY63" s="159">
        <f>tblRisk[[#This Row],[Impact to Obligations]]</f>
        <v>3</v>
      </c>
      <c r="AZ63" s="166">
        <f>IF(ISBLANK(tblRisk[[#This Row],[Impact to Mission With Safeguard in Place]]),"",MAX(tblRisk[[#This Row],[Impact to Mission With Safeguard in Place]:[Impact to Obligations With Safeguard in Place]]))</f>
        <v>3</v>
      </c>
      <c r="BA63" s="167">
        <f>IF(ISERROR(tblRisk[[#This Row],[Impact Score with Safeguard in Place]]*tblRisk[[#This Row],[Likelihood Score with Safeguard in Place]]),"",tblRisk[[#This Row],[Impact Score with Safeguard in Place]]*tblRisk[[#This Row],[Likelihood Score with Safeguard in Place]])</f>
        <v>6</v>
      </c>
      <c r="BB63" s="164">
        <f>tblRisk[[#This Row],[Risk Score With Safeguard in Place]]</f>
        <v>6</v>
      </c>
      <c r="BC63" s="168" t="str">
        <f>IF(tblRisk[[#This Row],[Risk Treatment Option]]&lt;&gt;"Accept",IF(_xlfn.XLOOKUP(tblRisk[[#This Row],[Specific Safeguard Recommendation]],ProTrak[Task],ProTrak[Status],"Not Found")="Completed","Pending Validation","Pending"),"")</f>
        <v/>
      </c>
      <c r="BD63" s="169" t="str">
        <f>_xlfn.XLOOKUP(tblRisk[[#This Row],[Risk Treatment Program]],tblRiskTreatmentPrograms[Risk Treatment Program],tblRiskTreatmentPrograms[Estimated End Date (MM/DD/YYYY)],"")</f>
        <v/>
      </c>
      <c r="BE63" s="170"/>
      <c r="BF63" s="171" t="str">
        <f>_xlfn.IFNA(IF(tblRisk[[#This Row],[Due Date]]&lt;=vWhatIfQuarter,"Closed",""),"")</f>
        <v/>
      </c>
      <c r="BG63" s="171">
        <f>IF(tblRisk[[#This Row],[Scenario Builder Status]]="Closed",tblRisk[[#This Row],[Risk Score With Safeguard in Place]],tblRisk[[#This Row],[Risk Score]])</f>
        <v>6</v>
      </c>
      <c r="BH63" s="192" t="str">
        <f>tblRisk[[#This Row],[Common Security Program]]&amp;tblRisk[[#This Row],[Common Security Control]]&amp;tblRisk[[#This Row],[Asset Designation ]]</f>
        <v>Monitoring &amp; LoggingGovernanceNetwork</v>
      </c>
      <c r="BI63" s="191"/>
      <c r="BJ63" s="191"/>
      <c r="BK63" s="191"/>
      <c r="BL63" s="191" t="s">
        <v>117</v>
      </c>
      <c r="BM63" s="191" t="s">
        <v>117</v>
      </c>
      <c r="BN63" s="191" t="s">
        <v>117</v>
      </c>
      <c r="BO63" s="191" t="s">
        <v>117</v>
      </c>
      <c r="BP63" s="191"/>
      <c r="BQ63" s="191"/>
    </row>
    <row r="64" spans="1:69" ht="267.75" x14ac:dyDescent="0.65">
      <c r="A64" s="160">
        <v>61</v>
      </c>
      <c r="B64" s="160" t="s">
        <v>899</v>
      </c>
      <c r="C64" s="19" t="s">
        <v>942</v>
      </c>
      <c r="D64" s="28" t="s">
        <v>1182</v>
      </c>
      <c r="E64" s="207" t="s">
        <v>1096</v>
      </c>
      <c r="F64" s="194" t="s">
        <v>117</v>
      </c>
      <c r="G64" s="194" t="s">
        <v>117</v>
      </c>
      <c r="H64" s="194" t="s">
        <v>117</v>
      </c>
      <c r="I64" s="194" t="s">
        <v>1081</v>
      </c>
      <c r="J64" s="194" t="s">
        <v>1081</v>
      </c>
      <c r="K64" s="194" t="s">
        <v>1081</v>
      </c>
      <c r="L64" s="194" t="s">
        <v>1081</v>
      </c>
      <c r="M64" s="194" t="s">
        <v>1081</v>
      </c>
      <c r="N64" s="194">
        <f>COUNTIF(tblRisk[[#This Row],[Defends Against Malware]:[Defends Against Targeted Intrusions]],"Yes")</f>
        <v>5</v>
      </c>
      <c r="O64" s="160" t="s">
        <v>21</v>
      </c>
      <c r="P64" s="160" t="s">
        <v>88</v>
      </c>
      <c r="Q64" s="160" t="s">
        <v>30</v>
      </c>
      <c r="R64" s="160" t="s">
        <v>1085</v>
      </c>
      <c r="S64" s="160" t="s">
        <v>1426</v>
      </c>
      <c r="T64" s="160" t="s">
        <v>1425</v>
      </c>
      <c r="U64" s="19" t="s">
        <v>1906</v>
      </c>
      <c r="V64" s="19" t="s">
        <v>1648</v>
      </c>
      <c r="W64" s="160" t="s">
        <v>1777</v>
      </c>
      <c r="X64" s="160" t="s">
        <v>1778</v>
      </c>
      <c r="Y64" s="151">
        <f>IF(ISBLANK(tblRisk[[#This Row],[Threat Cluster]]),"",_xlfn.XLOOKUP(tblRisk[[#This Row],[Threat Cluster]],tblHIT[Threat Cluster],tblHIT[Quintile]))</f>
        <v>2</v>
      </c>
      <c r="Z64" s="152">
        <v>2</v>
      </c>
      <c r="AA64" s="153" t="str">
        <f>IF(OR(ISBLANK(tblRisk[[#This Row],[HIT Quintile]]),ISBLANK(tblRisk[[#This Row],[Control Maturity]])),"",_xlfn.XLOOKUP(tblRisk[[#This Row],[Control Maturity]] &amp; tblRisk[[#This Row],[HIT Quintile]],tblHITWDI[Lookup],tblHITWDI[Likelihood Description]))</f>
        <v>Common</v>
      </c>
      <c r="AB64" s="161">
        <f>IF(ISERROR(tblRisk[[#This Row],[Likelihood of Control Failure]]),"",VLOOKUP(tblRisk[[#This Row],[Likelihood of Control Failure]],tblLikelihood[],2,FALSE))</f>
        <v>4</v>
      </c>
      <c r="AC64" s="154">
        <v>2</v>
      </c>
      <c r="AD64" s="155">
        <v>2</v>
      </c>
      <c r="AE64" s="155">
        <v>3</v>
      </c>
      <c r="AF64" s="162">
        <f>IF(ISBLANK(tblRisk[[#This Row],[Impact to Mission]]),"",MAX(tblRisk[[#This Row],[Impact to Mission]:[Impact to Obligations]]))</f>
        <v>3</v>
      </c>
      <c r="AG64" s="163">
        <f>IF(ISERROR(tblRisk[[#This Row],[Impact Score]]*tblRisk[[#This Row],[Likelihood Score]]),"",tblRisk[[#This Row],[Likelihood Score]]*tblRisk[[#This Row],[Impact Score]])</f>
        <v>12</v>
      </c>
      <c r="AH64" s="163">
        <f>tblRisk[[#This Row],[Risk Score]]</f>
        <v>12</v>
      </c>
      <c r="AI64" s="164">
        <f t="shared" si="2"/>
        <v>9</v>
      </c>
      <c r="AJ64" s="164">
        <f>IF(tblRisk[[#This Row],[Safeguard Status]]="In Place",tblRisk[[#This Row],[Control Maturity after SG]],tblRisk[[#This Row],[Control Maturity]])</f>
        <v>4</v>
      </c>
      <c r="AK64" s="173" t="str">
        <f>IF(tblRisk[[#This Row],[Safeguard Status]]="In Place",tblRisk[[#This Row],[Safeguard Threat Cluster]],tblRisk[[#This Row],[Threat Cluster]])</f>
        <v>Hacking System</v>
      </c>
      <c r="AL64" s="164">
        <f>IF(tblRisk[[#This Row],[Safeguard Status]]="In Place",tblRisk[[#This Row],[Risk Level With Safeguard in Place]],tblRisk[[#This Row],[Risk Level]])</f>
        <v>6</v>
      </c>
      <c r="AM64" s="165" t="s">
        <v>1564</v>
      </c>
      <c r="AN64"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Logging &amp; Monitoring</v>
      </c>
      <c r="AO64"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Logging &amp; Monitoring including:
 * enable logging;
 * ensure the integrity of log data;
 * protect and retain log data;
 * integrate notification process with vulnerability management and incident response; and
 * reporting of Logging &amp; Monitoring performance metrics
</v>
      </c>
      <c r="AP64" s="165" t="s">
        <v>1893</v>
      </c>
      <c r="AQ6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64" s="19" t="str">
        <f>tblRisk[[#This Row],[Threat Cluster]]</f>
        <v>Hacking System</v>
      </c>
      <c r="AS64" s="156">
        <f>IF(ISBLANK(tblRisk[[#This Row],[Safeguard Threat Cluster]]),"",_xlfn.XLOOKUP(tblRisk[[#This Row],[Safeguard Threat Cluster]],tblHIT[Threat Cluster],tblHIT[Quintile]))</f>
        <v>2</v>
      </c>
      <c r="AT64" s="157">
        <v>4</v>
      </c>
      <c r="AU6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4" s="166">
        <f>IF(ISERROR(tblRisk[[#This Row],[Likelihood of Control Failure after SG]]),"",VLOOKUP(tblRisk[[#This Row],[Likelihood of Control Failure after SG]],tblLikelihood[#Data],2,FALSE))</f>
        <v>2</v>
      </c>
      <c r="AW64" s="159">
        <f>tblRisk[[#This Row],[Impact to Mission]]</f>
        <v>2</v>
      </c>
      <c r="AX64" s="159">
        <f>tblRisk[[#This Row],[Impact to Objectives]]</f>
        <v>2</v>
      </c>
      <c r="AY64" s="159">
        <f>tblRisk[[#This Row],[Impact to Obligations]]</f>
        <v>3</v>
      </c>
      <c r="AZ64" s="166">
        <f>IF(ISBLANK(tblRisk[[#This Row],[Impact to Mission With Safeguard in Place]]),"",MAX(tblRisk[[#This Row],[Impact to Mission With Safeguard in Place]:[Impact to Obligations With Safeguard in Place]]))</f>
        <v>3</v>
      </c>
      <c r="BA64" s="167">
        <f>IF(ISERROR(tblRisk[[#This Row],[Impact Score with Safeguard in Place]]*tblRisk[[#This Row],[Likelihood Score with Safeguard in Place]]),"",tblRisk[[#This Row],[Impact Score with Safeguard in Place]]*tblRisk[[#This Row],[Likelihood Score with Safeguard in Place]])</f>
        <v>6</v>
      </c>
      <c r="BB64" s="164">
        <f>tblRisk[[#This Row],[Risk Score With Safeguard in Place]]</f>
        <v>6</v>
      </c>
      <c r="BC64" s="168" t="s">
        <v>620</v>
      </c>
      <c r="BD64" s="169" t="str">
        <f>_xlfn.XLOOKUP(tblRisk[[#This Row],[Risk Treatment Program]],tblRiskTreatmentPrograms[Risk Treatment Program],tblRiskTreatmentPrograms[Estimated End Date (MM/DD/YYYY)],"")</f>
        <v>TBD</v>
      </c>
      <c r="BE64" s="170"/>
      <c r="BF64" s="171" t="str">
        <f>_xlfn.IFNA(IF(tblRisk[[#This Row],[Due Date]]&lt;=vWhatIfQuarter,"Closed",""),"")</f>
        <v/>
      </c>
      <c r="BG64" s="171">
        <f>IF(tblRisk[[#This Row],[Scenario Builder Status]]="Closed",tblRisk[[#This Row],[Risk Score With Safeguard in Place]],tblRisk[[#This Row],[Risk Score]])</f>
        <v>12</v>
      </c>
      <c r="BH64" s="192" t="str">
        <f>tblRisk[[#This Row],[Common Security Program]]&amp;tblRisk[[#This Row],[Common Security Control]]&amp;tblRisk[[#This Row],[Asset Designation ]]</f>
        <v>Monitoring &amp; LoggingOperationNetwork</v>
      </c>
      <c r="BI64" s="191"/>
      <c r="BJ64" s="191"/>
      <c r="BK64" s="191"/>
      <c r="BL64" s="191" t="s">
        <v>117</v>
      </c>
      <c r="BM64" s="191" t="s">
        <v>117</v>
      </c>
      <c r="BN64" s="191"/>
      <c r="BO64" s="191" t="s">
        <v>117</v>
      </c>
      <c r="BP64" s="191"/>
      <c r="BQ64" s="191"/>
    </row>
    <row r="65" spans="1:69" ht="267.75" x14ac:dyDescent="0.65">
      <c r="A65" s="160">
        <v>62</v>
      </c>
      <c r="B65" s="160" t="s">
        <v>899</v>
      </c>
      <c r="C65" s="19" t="s">
        <v>943</v>
      </c>
      <c r="D65" s="28" t="s">
        <v>1183</v>
      </c>
      <c r="E65" s="207" t="s">
        <v>1096</v>
      </c>
      <c r="F65" s="194" t="s">
        <v>117</v>
      </c>
      <c r="G65" s="194" t="s">
        <v>117</v>
      </c>
      <c r="H65" s="194" t="s">
        <v>117</v>
      </c>
      <c r="I65" s="194" t="s">
        <v>1081</v>
      </c>
      <c r="J65" s="194" t="s">
        <v>1081</v>
      </c>
      <c r="K65" s="194" t="s">
        <v>1081</v>
      </c>
      <c r="L65" s="194" t="s">
        <v>1081</v>
      </c>
      <c r="M65" s="194" t="s">
        <v>1081</v>
      </c>
      <c r="N65" s="194">
        <f>COUNTIF(tblRisk[[#This Row],[Defends Against Malware]:[Defends Against Targeted Intrusions]],"Yes")</f>
        <v>5</v>
      </c>
      <c r="O65" s="160" t="s">
        <v>21</v>
      </c>
      <c r="P65" s="160" t="s">
        <v>88</v>
      </c>
      <c r="Q65" s="160" t="s">
        <v>30</v>
      </c>
      <c r="R65" s="160" t="s">
        <v>1085</v>
      </c>
      <c r="S65" s="160" t="s">
        <v>1426</v>
      </c>
      <c r="T65" s="160" t="s">
        <v>1425</v>
      </c>
      <c r="U65" s="19" t="s">
        <v>1906</v>
      </c>
      <c r="V65" s="19" t="s">
        <v>1647</v>
      </c>
      <c r="W65" s="160" t="s">
        <v>1709</v>
      </c>
      <c r="X65" s="160" t="s">
        <v>1779</v>
      </c>
      <c r="Y65" s="151">
        <f>IF(ISBLANK(tblRisk[[#This Row],[Threat Cluster]]),"",_xlfn.XLOOKUP(tblRisk[[#This Row],[Threat Cluster]],tblHIT[Threat Cluster],tblHIT[Quintile]))</f>
        <v>2</v>
      </c>
      <c r="Z65" s="152">
        <v>4</v>
      </c>
      <c r="AA65" s="153" t="str">
        <f>IF(OR(ISBLANK(tblRisk[[#This Row],[HIT Quintile]]),ISBLANK(tblRisk[[#This Row],[Control Maturity]])),"",_xlfn.XLOOKUP(tblRisk[[#This Row],[Control Maturity]] &amp; tblRisk[[#This Row],[HIT Quintile]],tblHITWDI[Lookup],tblHITWDI[Likelihood Description]))</f>
        <v>Foreseeable, not expected</v>
      </c>
      <c r="AB65" s="161">
        <f>IF(ISERROR(tblRisk[[#This Row],[Likelihood of Control Failure]]),"",VLOOKUP(tblRisk[[#This Row],[Likelihood of Control Failure]],tblLikelihood[],2,FALSE))</f>
        <v>2</v>
      </c>
      <c r="AC65" s="154">
        <v>2</v>
      </c>
      <c r="AD65" s="155">
        <v>2</v>
      </c>
      <c r="AE65" s="155">
        <v>2</v>
      </c>
      <c r="AF65" s="162">
        <f>IF(ISBLANK(tblRisk[[#This Row],[Impact to Mission]]),"",MAX(tblRisk[[#This Row],[Impact to Mission]:[Impact to Obligations]]))</f>
        <v>2</v>
      </c>
      <c r="AG65" s="163">
        <f>IF(ISERROR(tblRisk[[#This Row],[Impact Score]]*tblRisk[[#This Row],[Likelihood Score]]),"",tblRisk[[#This Row],[Likelihood Score]]*tblRisk[[#This Row],[Impact Score]])</f>
        <v>4</v>
      </c>
      <c r="AH65" s="163">
        <f>tblRisk[[#This Row],[Risk Score]]</f>
        <v>4</v>
      </c>
      <c r="AI65" s="164">
        <f t="shared" si="2"/>
        <v>9</v>
      </c>
      <c r="AJ65" s="164">
        <f>IF(tblRisk[[#This Row],[Safeguard Status]]="In Place",tblRisk[[#This Row],[Control Maturity after SG]],tblRisk[[#This Row],[Control Maturity]])</f>
        <v>4</v>
      </c>
      <c r="AK65" s="173" t="str">
        <f>IF(tblRisk[[#This Row],[Safeguard Status]]="In Place",tblRisk[[#This Row],[Safeguard Threat Cluster]],tblRisk[[#This Row],[Threat Cluster]])</f>
        <v>Hacking System</v>
      </c>
      <c r="AL65" s="164">
        <f>IF(tblRisk[[#This Row],[Safeguard Status]]="In Place",tblRisk[[#This Row],[Risk Level With Safeguard in Place]],tblRisk[[#This Row],[Risk Level]])</f>
        <v>4</v>
      </c>
      <c r="AM65" s="165" t="s">
        <v>1887</v>
      </c>
      <c r="AN65" s="165" t="str">
        <f>IF(tblRisk[[#This Row],[Risk Treatment Option]]="Manage",_xlfn.IFNA(INDEX(tblRiskTreatmentPrograms[#Data],MATCH(tblRisk[[#This Row],[Common Security Program]]&amp;tblRisk[[#This Row],[Common Security Control]],tblRiskTreatmentPrograms[Lookup],0),MATCH($AN$3,tblRiskTreatmentPrograms[#Headers],0)),txtBadRTP),"")</f>
        <v/>
      </c>
      <c r="AO65" s="165" t="str">
        <f>IF(tblRisk[[#This Row],[Risk Treatment Program]]="","",INDEX(tblRiskTreatmentPrograms[#Data],MATCH(tblRisk[[#This Row],[Risk Treatment Program]],tblRiskTreatmentPrograms[Risk Treatment Program],0),MATCH($AO$3,tblRiskTreatmentPrograms[#Headers],0)))</f>
        <v/>
      </c>
      <c r="AP65" s="165"/>
      <c r="AQ6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5" s="19" t="str">
        <f>tblRisk[[#This Row],[Threat Cluster]]</f>
        <v>Hacking System</v>
      </c>
      <c r="AS65" s="156">
        <f>IF(ISBLANK(tblRisk[[#This Row],[Safeguard Threat Cluster]]),"",_xlfn.XLOOKUP(tblRisk[[#This Row],[Safeguard Threat Cluster]],tblHIT[Threat Cluster],tblHIT[Quintile]))</f>
        <v>2</v>
      </c>
      <c r="AT65" s="157">
        <f>_xlfn.SWITCH(tblRisk[[#This Row],[Risk Treatment Option]],"Manage",tblRisk[[#This Row],[Control Maturity]]+1,tblRisk[[#This Row],[Control Maturity]])</f>
        <v>4</v>
      </c>
      <c r="AU6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5" s="166">
        <f>IF(ISERROR(tblRisk[[#This Row],[Likelihood of Control Failure after SG]]),"",VLOOKUP(tblRisk[[#This Row],[Likelihood of Control Failure after SG]],tblLikelihood[#Data],2,FALSE))</f>
        <v>2</v>
      </c>
      <c r="AW65" s="159">
        <f>tblRisk[[#This Row],[Impact to Mission]]</f>
        <v>2</v>
      </c>
      <c r="AX65" s="159">
        <f>tblRisk[[#This Row],[Impact to Objectives]]</f>
        <v>2</v>
      </c>
      <c r="AY65" s="159">
        <f>tblRisk[[#This Row],[Impact to Obligations]]</f>
        <v>2</v>
      </c>
      <c r="AZ65" s="166">
        <f>IF(ISBLANK(tblRisk[[#This Row],[Impact to Mission With Safeguard in Place]]),"",MAX(tblRisk[[#This Row],[Impact to Mission With Safeguard in Place]:[Impact to Obligations With Safeguard in Place]]))</f>
        <v>2</v>
      </c>
      <c r="BA65" s="167">
        <f>IF(ISERROR(tblRisk[[#This Row],[Impact Score with Safeguard in Place]]*tblRisk[[#This Row],[Likelihood Score with Safeguard in Place]]),"",tblRisk[[#This Row],[Impact Score with Safeguard in Place]]*tblRisk[[#This Row],[Likelihood Score with Safeguard in Place]])</f>
        <v>4</v>
      </c>
      <c r="BB65" s="164">
        <f>tblRisk[[#This Row],[Risk Score With Safeguard in Place]]</f>
        <v>4</v>
      </c>
      <c r="BC65" s="168" t="str">
        <f>IF(tblRisk[[#This Row],[Risk Treatment Option]]&lt;&gt;"Accept",IF(_xlfn.XLOOKUP(tblRisk[[#This Row],[Specific Safeguard Recommendation]],ProTrak[Task],ProTrak[Status],"Not Found")="Completed","Pending Validation","Pending"),"")</f>
        <v/>
      </c>
      <c r="BD65" s="169" t="str">
        <f>_xlfn.XLOOKUP(tblRisk[[#This Row],[Risk Treatment Program]],tblRiskTreatmentPrograms[Risk Treatment Program],tblRiskTreatmentPrograms[Estimated End Date (MM/DD/YYYY)],"")</f>
        <v/>
      </c>
      <c r="BE65" s="170"/>
      <c r="BF65" s="171" t="str">
        <f>_xlfn.IFNA(IF(tblRisk[[#This Row],[Due Date]]&lt;=vWhatIfQuarter,"Closed",""),"")</f>
        <v/>
      </c>
      <c r="BG65" s="171">
        <f>IF(tblRisk[[#This Row],[Scenario Builder Status]]="Closed",tblRisk[[#This Row],[Risk Score With Safeguard in Place]],tblRisk[[#This Row],[Risk Score]])</f>
        <v>4</v>
      </c>
      <c r="BH65" s="192" t="str">
        <f>tblRisk[[#This Row],[Common Security Program]]&amp;tblRisk[[#This Row],[Common Security Control]]&amp;tblRisk[[#This Row],[Asset Designation ]]</f>
        <v>Monitoring &amp; LoggingOperationNetwork</v>
      </c>
      <c r="BI65" s="191"/>
      <c r="BJ65" s="191"/>
      <c r="BK65" s="191"/>
      <c r="BL65" s="191" t="s">
        <v>117</v>
      </c>
      <c r="BM65" s="191" t="s">
        <v>117</v>
      </c>
      <c r="BN65" s="191" t="s">
        <v>117</v>
      </c>
      <c r="BO65" s="191" t="s">
        <v>117</v>
      </c>
      <c r="BP65" s="191"/>
      <c r="BQ65" s="191"/>
    </row>
    <row r="66" spans="1:69" ht="267.75" x14ac:dyDescent="0.65">
      <c r="A66" s="160">
        <v>63</v>
      </c>
      <c r="B66" s="160" t="s">
        <v>899</v>
      </c>
      <c r="C66" s="19" t="s">
        <v>944</v>
      </c>
      <c r="D66" s="28" t="s">
        <v>1184</v>
      </c>
      <c r="E66" s="207" t="s">
        <v>1092</v>
      </c>
      <c r="F66" s="194"/>
      <c r="G66" s="194" t="s">
        <v>117</v>
      </c>
      <c r="H66" s="194" t="s">
        <v>117</v>
      </c>
      <c r="I66" s="194" t="s">
        <v>1080</v>
      </c>
      <c r="J66" s="194" t="s">
        <v>1080</v>
      </c>
      <c r="K66" s="194" t="s">
        <v>1080</v>
      </c>
      <c r="L66" s="194" t="s">
        <v>1080</v>
      </c>
      <c r="M66" s="194" t="s">
        <v>1080</v>
      </c>
      <c r="N66" s="194">
        <f>COUNTIF(tblRisk[[#This Row],[Defends Against Malware]:[Defends Against Targeted Intrusions]],"Yes")</f>
        <v>0</v>
      </c>
      <c r="O66" s="160" t="s">
        <v>21</v>
      </c>
      <c r="P66" s="160" t="s">
        <v>88</v>
      </c>
      <c r="Q66" s="160" t="s">
        <v>30</v>
      </c>
      <c r="R66" s="160" t="s">
        <v>1085</v>
      </c>
      <c r="S66" s="160" t="s">
        <v>1426</v>
      </c>
      <c r="T66" s="160" t="s">
        <v>1425</v>
      </c>
      <c r="U66" s="19" t="s">
        <v>1906</v>
      </c>
      <c r="V66" s="160" t="s">
        <v>1593</v>
      </c>
      <c r="W66" s="160" t="s">
        <v>1709</v>
      </c>
      <c r="X66" s="160" t="s">
        <v>1780</v>
      </c>
      <c r="Y66" s="151">
        <f>IF(ISBLANK(tblRisk[[#This Row],[Threat Cluster]]),"",_xlfn.XLOOKUP(tblRisk[[#This Row],[Threat Cluster]],tblHIT[Threat Cluster],tblHIT[Quintile]))</f>
        <v>2</v>
      </c>
      <c r="Z66" s="152">
        <v>4</v>
      </c>
      <c r="AA66" s="153" t="str">
        <f>IF(OR(ISBLANK(tblRisk[[#This Row],[HIT Quintile]]),ISBLANK(tblRisk[[#This Row],[Control Maturity]])),"",_xlfn.XLOOKUP(tblRisk[[#This Row],[Control Maturity]] &amp; tblRisk[[#This Row],[HIT Quintile]],tblHITWDI[Lookup],tblHITWDI[Likelihood Description]))</f>
        <v>Foreseeable, not expected</v>
      </c>
      <c r="AB66" s="161">
        <f>IF(ISERROR(tblRisk[[#This Row],[Likelihood of Control Failure]]),"",VLOOKUP(tblRisk[[#This Row],[Likelihood of Control Failure]],tblLikelihood[],2,FALSE))</f>
        <v>2</v>
      </c>
      <c r="AC66" s="154">
        <v>2</v>
      </c>
      <c r="AD66" s="155">
        <v>2</v>
      </c>
      <c r="AE66" s="155">
        <v>2</v>
      </c>
      <c r="AF66" s="162">
        <f>IF(ISBLANK(tblRisk[[#This Row],[Impact to Mission]]),"",MAX(tblRisk[[#This Row],[Impact to Mission]:[Impact to Obligations]]))</f>
        <v>2</v>
      </c>
      <c r="AG66" s="163">
        <f>IF(ISERROR(tblRisk[[#This Row],[Impact Score]]*tblRisk[[#This Row],[Likelihood Score]]),"",tblRisk[[#This Row],[Likelihood Score]]*tblRisk[[#This Row],[Impact Score]])</f>
        <v>4</v>
      </c>
      <c r="AH66" s="163">
        <f>tblRisk[[#This Row],[Risk Score]]</f>
        <v>4</v>
      </c>
      <c r="AI66" s="164">
        <f t="shared" si="2"/>
        <v>9</v>
      </c>
      <c r="AJ66" s="164">
        <f>IF(tblRisk[[#This Row],[Safeguard Status]]="In Place",tblRisk[[#This Row],[Control Maturity after SG]],tblRisk[[#This Row],[Control Maturity]])</f>
        <v>4</v>
      </c>
      <c r="AK66" s="173" t="str">
        <f>IF(tblRisk[[#This Row],[Safeguard Status]]="In Place",tblRisk[[#This Row],[Safeguard Threat Cluster]],tblRisk[[#This Row],[Threat Cluster]])</f>
        <v>Hacking System</v>
      </c>
      <c r="AL66" s="164">
        <f>IF(tblRisk[[#This Row],[Safeguard Status]]="In Place",tblRisk[[#This Row],[Risk Level With Safeguard in Place]],tblRisk[[#This Row],[Risk Level]])</f>
        <v>4</v>
      </c>
      <c r="AM66" s="165" t="s">
        <v>1887</v>
      </c>
      <c r="AN66" s="165" t="str">
        <f>IF(tblRisk[[#This Row],[Risk Treatment Option]]="Manage",_xlfn.IFNA(INDEX(tblRiskTreatmentPrograms[#Data],MATCH(tblRisk[[#This Row],[Common Security Program]]&amp;tblRisk[[#This Row],[Common Security Control]],tblRiskTreatmentPrograms[Lookup],0),MATCH($AN$3,tblRiskTreatmentPrograms[#Headers],0)),txtBadRTP),"")</f>
        <v/>
      </c>
      <c r="AO66" s="165" t="str">
        <f>IF(tblRisk[[#This Row],[Risk Treatment Program]]="","",INDEX(tblRiskTreatmentPrograms[#Data],MATCH(tblRisk[[#This Row],[Risk Treatment Program]],tblRiskTreatmentPrograms[Risk Treatment Program],0),MATCH($AO$3,tblRiskTreatmentPrograms[#Headers],0)))</f>
        <v/>
      </c>
      <c r="AP66" s="165"/>
      <c r="AQ6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6" s="19" t="str">
        <f>tblRisk[[#This Row],[Threat Cluster]]</f>
        <v>Hacking System</v>
      </c>
      <c r="AS66" s="156">
        <f>IF(ISBLANK(tblRisk[[#This Row],[Safeguard Threat Cluster]]),"",_xlfn.XLOOKUP(tblRisk[[#This Row],[Safeguard Threat Cluster]],tblHIT[Threat Cluster],tblHIT[Quintile]))</f>
        <v>2</v>
      </c>
      <c r="AT66" s="157">
        <f>_xlfn.SWITCH(tblRisk[[#This Row],[Risk Treatment Option]],"Manage",tblRisk[[#This Row],[Control Maturity]]+1,tblRisk[[#This Row],[Control Maturity]])</f>
        <v>4</v>
      </c>
      <c r="AU6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6" s="166">
        <f>IF(ISERROR(tblRisk[[#This Row],[Likelihood of Control Failure after SG]]),"",VLOOKUP(tblRisk[[#This Row],[Likelihood of Control Failure after SG]],tblLikelihood[#Data],2,FALSE))</f>
        <v>2</v>
      </c>
      <c r="AW66" s="159">
        <f>tblRisk[[#This Row],[Impact to Mission]]</f>
        <v>2</v>
      </c>
      <c r="AX66" s="159">
        <f>tblRisk[[#This Row],[Impact to Objectives]]</f>
        <v>2</v>
      </c>
      <c r="AY66" s="159">
        <f>tblRisk[[#This Row],[Impact to Obligations]]</f>
        <v>2</v>
      </c>
      <c r="AZ66" s="166">
        <f>IF(ISBLANK(tblRisk[[#This Row],[Impact to Mission With Safeguard in Place]]),"",MAX(tblRisk[[#This Row],[Impact to Mission With Safeguard in Place]:[Impact to Obligations With Safeguard in Place]]))</f>
        <v>2</v>
      </c>
      <c r="BA66" s="167">
        <f>IF(ISERROR(tblRisk[[#This Row],[Impact Score with Safeguard in Place]]*tblRisk[[#This Row],[Likelihood Score with Safeguard in Place]]),"",tblRisk[[#This Row],[Impact Score with Safeguard in Place]]*tblRisk[[#This Row],[Likelihood Score with Safeguard in Place]])</f>
        <v>4</v>
      </c>
      <c r="BB66" s="164">
        <f>tblRisk[[#This Row],[Risk Score With Safeguard in Place]]</f>
        <v>4</v>
      </c>
      <c r="BC66" s="168" t="str">
        <f>IF(tblRisk[[#This Row],[Risk Treatment Option]]&lt;&gt;"Accept",IF(_xlfn.XLOOKUP(tblRisk[[#This Row],[Specific Safeguard Recommendation]],ProTrak[Task],ProTrak[Status],"Not Found")="Completed","Pending Validation","Pending"),"")</f>
        <v/>
      </c>
      <c r="BD66" s="169" t="str">
        <f>_xlfn.XLOOKUP(tblRisk[[#This Row],[Risk Treatment Program]],tblRiskTreatmentPrograms[Risk Treatment Program],tblRiskTreatmentPrograms[Estimated End Date (MM/DD/YYYY)],"")</f>
        <v/>
      </c>
      <c r="BE66" s="170"/>
      <c r="BF66" s="171" t="str">
        <f>_xlfn.IFNA(IF(tblRisk[[#This Row],[Due Date]]&lt;=vWhatIfQuarter,"Closed",""),"")</f>
        <v/>
      </c>
      <c r="BG66" s="171">
        <f>IF(tblRisk[[#This Row],[Scenario Builder Status]]="Closed",tblRisk[[#This Row],[Risk Score With Safeguard in Place]],tblRisk[[#This Row],[Risk Score]])</f>
        <v>4</v>
      </c>
      <c r="BH66" s="192" t="str">
        <f>tblRisk[[#This Row],[Common Security Program]]&amp;tblRisk[[#This Row],[Common Security Control]]&amp;tblRisk[[#This Row],[Asset Designation ]]</f>
        <v>Monitoring &amp; LoggingOperationNetwork</v>
      </c>
      <c r="BI66" s="191"/>
      <c r="BJ66" s="191"/>
      <c r="BK66" s="191"/>
      <c r="BL66" s="191"/>
      <c r="BM66" s="191"/>
      <c r="BN66" s="191"/>
      <c r="BO66" s="191"/>
      <c r="BP66" s="191"/>
      <c r="BQ66" s="191"/>
    </row>
    <row r="67" spans="1:69" ht="267.75" x14ac:dyDescent="0.65">
      <c r="A67" s="160">
        <v>64</v>
      </c>
      <c r="B67" s="160" t="s">
        <v>899</v>
      </c>
      <c r="C67" s="19" t="s">
        <v>945</v>
      </c>
      <c r="D67" s="28" t="s">
        <v>1185</v>
      </c>
      <c r="E67" s="207" t="s">
        <v>1091</v>
      </c>
      <c r="F67" s="194"/>
      <c r="G67" s="194" t="s">
        <v>117</v>
      </c>
      <c r="H67" s="194" t="s">
        <v>117</v>
      </c>
      <c r="I67" s="194" t="s">
        <v>1080</v>
      </c>
      <c r="J67" s="194" t="s">
        <v>1080</v>
      </c>
      <c r="K67" s="194" t="s">
        <v>1080</v>
      </c>
      <c r="L67" s="194" t="s">
        <v>1080</v>
      </c>
      <c r="M67" s="194" t="s">
        <v>1081</v>
      </c>
      <c r="N67" s="194">
        <f>COUNTIF(tblRisk[[#This Row],[Defends Against Malware]:[Defends Against Targeted Intrusions]],"Yes")</f>
        <v>1</v>
      </c>
      <c r="O67" s="160" t="s">
        <v>21</v>
      </c>
      <c r="P67" s="160" t="s">
        <v>88</v>
      </c>
      <c r="Q67" s="160" t="s">
        <v>611</v>
      </c>
      <c r="R67" s="160" t="s">
        <v>1085</v>
      </c>
      <c r="S67" s="160" t="s">
        <v>1426</v>
      </c>
      <c r="T67" s="160" t="s">
        <v>1425</v>
      </c>
      <c r="U67" s="19" t="s">
        <v>1906</v>
      </c>
      <c r="V67" s="19" t="s">
        <v>1650</v>
      </c>
      <c r="W67" s="160" t="s">
        <v>1709</v>
      </c>
      <c r="X67" s="160" t="s">
        <v>1781</v>
      </c>
      <c r="Y67" s="151">
        <f>IF(ISBLANK(tblRisk[[#This Row],[Threat Cluster]]),"",_xlfn.XLOOKUP(tblRisk[[#This Row],[Threat Cluster]],tblHIT[Threat Cluster],tblHIT[Quintile]))</f>
        <v>3</v>
      </c>
      <c r="Z67" s="152">
        <v>4</v>
      </c>
      <c r="AA67" s="153" t="str">
        <f>IF(OR(ISBLANK(tblRisk[[#This Row],[HIT Quintile]]),ISBLANK(tblRisk[[#This Row],[Control Maturity]])),"",_xlfn.XLOOKUP(tblRisk[[#This Row],[Control Maturity]] &amp; tblRisk[[#This Row],[HIT Quintile]],tblHITWDI[Lookup],tblHITWDI[Likelihood Description]))</f>
        <v>Foreseeable, not expected</v>
      </c>
      <c r="AB67" s="161">
        <f>IF(ISERROR(tblRisk[[#This Row],[Likelihood of Control Failure]]),"",VLOOKUP(tblRisk[[#This Row],[Likelihood of Control Failure]],tblLikelihood[],2,FALSE))</f>
        <v>2</v>
      </c>
      <c r="AC67" s="154">
        <v>2</v>
      </c>
      <c r="AD67" s="155">
        <v>2</v>
      </c>
      <c r="AE67" s="155">
        <v>2</v>
      </c>
      <c r="AF67" s="162">
        <f>IF(ISBLANK(tblRisk[[#This Row],[Impact to Mission]]),"",MAX(tblRisk[[#This Row],[Impact to Mission]:[Impact to Obligations]]))</f>
        <v>2</v>
      </c>
      <c r="AG67" s="163">
        <f>IF(ISERROR(tblRisk[[#This Row],[Impact Score]]*tblRisk[[#This Row],[Likelihood Score]]),"",tblRisk[[#This Row],[Likelihood Score]]*tblRisk[[#This Row],[Impact Score]])</f>
        <v>4</v>
      </c>
      <c r="AH67" s="163">
        <f>tblRisk[[#This Row],[Risk Score]]</f>
        <v>4</v>
      </c>
      <c r="AI67" s="164">
        <f t="shared" si="2"/>
        <v>9</v>
      </c>
      <c r="AJ67" s="164">
        <f>IF(tblRisk[[#This Row],[Safeguard Status]]="In Place",tblRisk[[#This Row],[Control Maturity after SG]],tblRisk[[#This Row],[Control Maturity]])</f>
        <v>4</v>
      </c>
      <c r="AK67" s="173" t="str">
        <f>IF(tblRisk[[#This Row],[Safeguard Status]]="In Place",tblRisk[[#This Row],[Safeguard Threat Cluster]],tblRisk[[#This Row],[Threat Cluster]])</f>
        <v>Physical Facility</v>
      </c>
      <c r="AL67" s="164">
        <f>IF(tblRisk[[#This Row],[Safeguard Status]]="In Place",tblRisk[[#This Row],[Risk Level With Safeguard in Place]],tblRisk[[#This Row],[Risk Level]])</f>
        <v>4</v>
      </c>
      <c r="AM67" s="165" t="s">
        <v>1887</v>
      </c>
      <c r="AN67" s="165" t="str">
        <f>IF(tblRisk[[#This Row],[Risk Treatment Option]]="Manage",_xlfn.IFNA(INDEX(tblRiskTreatmentPrograms[#Data],MATCH(tblRisk[[#This Row],[Common Security Program]]&amp;tblRisk[[#This Row],[Common Security Control]],tblRiskTreatmentPrograms[Lookup],0),MATCH($AN$3,tblRiskTreatmentPrograms[#Headers],0)),txtBadRTP),"")</f>
        <v/>
      </c>
      <c r="AO67" s="165" t="str">
        <f>IF(tblRisk[[#This Row],[Risk Treatment Program]]="","",INDEX(tblRiskTreatmentPrograms[#Data],MATCH(tblRisk[[#This Row],[Risk Treatment Program]],tblRiskTreatmentPrograms[Risk Treatment Program],0),MATCH($AO$3,tblRiskTreatmentPrograms[#Headers],0)))</f>
        <v/>
      </c>
      <c r="AP67" s="165"/>
      <c r="AQ6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7" s="19" t="str">
        <f>tblRisk[[#This Row],[Threat Cluster]]</f>
        <v>Physical Facility</v>
      </c>
      <c r="AS67" s="156">
        <f>IF(ISBLANK(tblRisk[[#This Row],[Safeguard Threat Cluster]]),"",_xlfn.XLOOKUP(tblRisk[[#This Row],[Safeguard Threat Cluster]],tblHIT[Threat Cluster],tblHIT[Quintile]))</f>
        <v>3</v>
      </c>
      <c r="AT67" s="157">
        <f>_xlfn.SWITCH(tblRisk[[#This Row],[Risk Treatment Option]],"Manage",tblRisk[[#This Row],[Control Maturity]]+1,tblRisk[[#This Row],[Control Maturity]])</f>
        <v>4</v>
      </c>
      <c r="AU6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7" s="166">
        <f>IF(ISERROR(tblRisk[[#This Row],[Likelihood of Control Failure after SG]]),"",VLOOKUP(tblRisk[[#This Row],[Likelihood of Control Failure after SG]],tblLikelihood[#Data],2,FALSE))</f>
        <v>2</v>
      </c>
      <c r="AW67" s="159">
        <f>tblRisk[[#This Row],[Impact to Mission]]</f>
        <v>2</v>
      </c>
      <c r="AX67" s="159">
        <f>tblRisk[[#This Row],[Impact to Objectives]]</f>
        <v>2</v>
      </c>
      <c r="AY67" s="159">
        <f>tblRisk[[#This Row],[Impact to Obligations]]</f>
        <v>2</v>
      </c>
      <c r="AZ67" s="166">
        <f>IF(ISBLANK(tblRisk[[#This Row],[Impact to Mission With Safeguard in Place]]),"",MAX(tblRisk[[#This Row],[Impact to Mission With Safeguard in Place]:[Impact to Obligations With Safeguard in Place]]))</f>
        <v>2</v>
      </c>
      <c r="BA67" s="167">
        <f>IF(ISERROR(tblRisk[[#This Row],[Impact Score with Safeguard in Place]]*tblRisk[[#This Row],[Likelihood Score with Safeguard in Place]]),"",tblRisk[[#This Row],[Impact Score with Safeguard in Place]]*tblRisk[[#This Row],[Likelihood Score with Safeguard in Place]])</f>
        <v>4</v>
      </c>
      <c r="BB67" s="164">
        <f>tblRisk[[#This Row],[Risk Score With Safeguard in Place]]</f>
        <v>4</v>
      </c>
      <c r="BC67" s="168" t="str">
        <f>IF(tblRisk[[#This Row],[Risk Treatment Option]]&lt;&gt;"Accept",IF(_xlfn.XLOOKUP(tblRisk[[#This Row],[Specific Safeguard Recommendation]],ProTrak[Task],ProTrak[Status],"Not Found")="Completed","Pending Validation","Pending"),"")</f>
        <v/>
      </c>
      <c r="BD67" s="169" t="str">
        <f>_xlfn.XLOOKUP(tblRisk[[#This Row],[Risk Treatment Program]],tblRiskTreatmentPrograms[Risk Treatment Program],tblRiskTreatmentPrograms[Estimated End Date (MM/DD/YYYY)],"")</f>
        <v/>
      </c>
      <c r="BE67" s="170"/>
      <c r="BF67" s="171" t="str">
        <f>_xlfn.IFNA(IF(tblRisk[[#This Row],[Due Date]]&lt;=vWhatIfQuarter,"Closed",""),"")</f>
        <v/>
      </c>
      <c r="BG67" s="171">
        <f>IF(tblRisk[[#This Row],[Scenario Builder Status]]="Closed",tblRisk[[#This Row],[Risk Score With Safeguard in Place]],tblRisk[[#This Row],[Risk Score]])</f>
        <v>4</v>
      </c>
      <c r="BH67" s="192" t="str">
        <f>tblRisk[[#This Row],[Common Security Program]]&amp;tblRisk[[#This Row],[Common Security Control]]&amp;tblRisk[[#This Row],[Asset Designation ]]</f>
        <v>Monitoring &amp; LoggingOperationNetwork</v>
      </c>
      <c r="BI67" s="191"/>
      <c r="BJ67" s="191"/>
      <c r="BK67" s="191"/>
      <c r="BL67" s="191" t="s">
        <v>117</v>
      </c>
      <c r="BM67" s="191"/>
      <c r="BN67" s="191"/>
      <c r="BO67" s="191"/>
      <c r="BP67" s="191"/>
      <c r="BQ67" s="191"/>
    </row>
    <row r="68" spans="1:69" ht="267.75" x14ac:dyDescent="0.65">
      <c r="A68" s="160">
        <v>65</v>
      </c>
      <c r="B68" s="160" t="s">
        <v>899</v>
      </c>
      <c r="C68" s="19" t="s">
        <v>946</v>
      </c>
      <c r="D68" s="28" t="s">
        <v>1186</v>
      </c>
      <c r="E68" s="207" t="s">
        <v>1091</v>
      </c>
      <c r="F68" s="194"/>
      <c r="G68" s="194" t="s">
        <v>117</v>
      </c>
      <c r="H68" s="194" t="s">
        <v>117</v>
      </c>
      <c r="I68" s="194" t="s">
        <v>1080</v>
      </c>
      <c r="J68" s="194" t="s">
        <v>1080</v>
      </c>
      <c r="K68" s="194" t="s">
        <v>1080</v>
      </c>
      <c r="L68" s="194" t="s">
        <v>1080</v>
      </c>
      <c r="M68" s="194" t="s">
        <v>1080</v>
      </c>
      <c r="N68" s="194">
        <f>COUNTIF(tblRisk[[#This Row],[Defends Against Malware]:[Defends Against Targeted Intrusions]],"Yes")</f>
        <v>0</v>
      </c>
      <c r="O68" s="160" t="s">
        <v>21</v>
      </c>
      <c r="P68" s="160" t="s">
        <v>88</v>
      </c>
      <c r="Q68" s="160" t="s">
        <v>30</v>
      </c>
      <c r="R68" s="160" t="s">
        <v>1085</v>
      </c>
      <c r="S68" s="160" t="s">
        <v>1426</v>
      </c>
      <c r="T68" s="160" t="s">
        <v>1425</v>
      </c>
      <c r="U68" s="19" t="s">
        <v>1906</v>
      </c>
      <c r="V68" s="19" t="s">
        <v>1651</v>
      </c>
      <c r="W68" s="160" t="s">
        <v>1709</v>
      </c>
      <c r="X68" s="160" t="s">
        <v>1782</v>
      </c>
      <c r="Y68" s="151">
        <f>IF(ISBLANK(tblRisk[[#This Row],[Threat Cluster]]),"",_xlfn.XLOOKUP(tblRisk[[#This Row],[Threat Cluster]],tblHIT[Threat Cluster],tblHIT[Quintile]))</f>
        <v>2</v>
      </c>
      <c r="Z68" s="152">
        <v>4</v>
      </c>
      <c r="AA68" s="153" t="str">
        <f>IF(OR(ISBLANK(tblRisk[[#This Row],[HIT Quintile]]),ISBLANK(tblRisk[[#This Row],[Control Maturity]])),"",_xlfn.XLOOKUP(tblRisk[[#This Row],[Control Maturity]] &amp; tblRisk[[#This Row],[HIT Quintile]],tblHITWDI[Lookup],tblHITWDI[Likelihood Description]))</f>
        <v>Foreseeable, not expected</v>
      </c>
      <c r="AB68" s="161">
        <f>IF(ISERROR(tblRisk[[#This Row],[Likelihood of Control Failure]]),"",VLOOKUP(tblRisk[[#This Row],[Likelihood of Control Failure]],tblLikelihood[],2,FALSE))</f>
        <v>2</v>
      </c>
      <c r="AC68" s="154">
        <v>2</v>
      </c>
      <c r="AD68" s="155">
        <v>2</v>
      </c>
      <c r="AE68" s="155">
        <v>2</v>
      </c>
      <c r="AF68" s="162">
        <f>IF(ISBLANK(tblRisk[[#This Row],[Impact to Mission]]),"",MAX(tblRisk[[#This Row],[Impact to Mission]:[Impact to Obligations]]))</f>
        <v>2</v>
      </c>
      <c r="AG68" s="163">
        <f>IF(ISERROR(tblRisk[[#This Row],[Impact Score]]*tblRisk[[#This Row],[Likelihood Score]]),"",tblRisk[[#This Row],[Likelihood Score]]*tblRisk[[#This Row],[Impact Score]])</f>
        <v>4</v>
      </c>
      <c r="AH68" s="163">
        <f>tblRisk[[#This Row],[Risk Score]]</f>
        <v>4</v>
      </c>
      <c r="AI68" s="164">
        <f t="shared" si="2"/>
        <v>9</v>
      </c>
      <c r="AJ68" s="164">
        <f>IF(tblRisk[[#This Row],[Safeguard Status]]="In Place",tblRisk[[#This Row],[Control Maturity after SG]],tblRisk[[#This Row],[Control Maturity]])</f>
        <v>4</v>
      </c>
      <c r="AK68" s="173" t="str">
        <f>IF(tblRisk[[#This Row],[Safeguard Status]]="In Place",tblRisk[[#This Row],[Safeguard Threat Cluster]],tblRisk[[#This Row],[Threat Cluster]])</f>
        <v>Hacking System</v>
      </c>
      <c r="AL68" s="164">
        <f>IF(tblRisk[[#This Row],[Safeguard Status]]="In Place",tblRisk[[#This Row],[Risk Level With Safeguard in Place]],tblRisk[[#This Row],[Risk Level]])</f>
        <v>4</v>
      </c>
      <c r="AM68" s="165" t="s">
        <v>1887</v>
      </c>
      <c r="AN68" s="165" t="str">
        <f>IF(tblRisk[[#This Row],[Risk Treatment Option]]="Manage",_xlfn.IFNA(INDEX(tblRiskTreatmentPrograms[#Data],MATCH(tblRisk[[#This Row],[Common Security Program]]&amp;tblRisk[[#This Row],[Common Security Control]],tblRiskTreatmentPrograms[Lookup],0),MATCH($AN$3,tblRiskTreatmentPrograms[#Headers],0)),txtBadRTP),"")</f>
        <v/>
      </c>
      <c r="AO68" s="165" t="str">
        <f>IF(tblRisk[[#This Row],[Risk Treatment Program]]="","",INDEX(tblRiskTreatmentPrograms[#Data],MATCH(tblRisk[[#This Row],[Risk Treatment Program]],tblRiskTreatmentPrograms[Risk Treatment Program],0),MATCH($AO$3,tblRiskTreatmentPrograms[#Headers],0)))</f>
        <v/>
      </c>
      <c r="AP68" s="165"/>
      <c r="AQ6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8" s="19" t="str">
        <f>tblRisk[[#This Row],[Threat Cluster]]</f>
        <v>Hacking System</v>
      </c>
      <c r="AS68" s="156">
        <f>IF(ISBLANK(tblRisk[[#This Row],[Safeguard Threat Cluster]]),"",_xlfn.XLOOKUP(tblRisk[[#This Row],[Safeguard Threat Cluster]],tblHIT[Threat Cluster],tblHIT[Quintile]))</f>
        <v>2</v>
      </c>
      <c r="AT68" s="157">
        <f>_xlfn.SWITCH(tblRisk[[#This Row],[Risk Treatment Option]],"Manage",tblRisk[[#This Row],[Control Maturity]]+1,tblRisk[[#This Row],[Control Maturity]])</f>
        <v>4</v>
      </c>
      <c r="AU6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8" s="166">
        <f>IF(ISERROR(tblRisk[[#This Row],[Likelihood of Control Failure after SG]]),"",VLOOKUP(tblRisk[[#This Row],[Likelihood of Control Failure after SG]],tblLikelihood[#Data],2,FALSE))</f>
        <v>2</v>
      </c>
      <c r="AW68" s="159">
        <f>tblRisk[[#This Row],[Impact to Mission]]</f>
        <v>2</v>
      </c>
      <c r="AX68" s="159">
        <f>tblRisk[[#This Row],[Impact to Objectives]]</f>
        <v>2</v>
      </c>
      <c r="AY68" s="159">
        <f>tblRisk[[#This Row],[Impact to Obligations]]</f>
        <v>2</v>
      </c>
      <c r="AZ68" s="166">
        <f>IF(ISBLANK(tblRisk[[#This Row],[Impact to Mission With Safeguard in Place]]),"",MAX(tblRisk[[#This Row],[Impact to Mission With Safeguard in Place]:[Impact to Obligations With Safeguard in Place]]))</f>
        <v>2</v>
      </c>
      <c r="BA68" s="167">
        <f>IF(ISERROR(tblRisk[[#This Row],[Impact Score with Safeguard in Place]]*tblRisk[[#This Row],[Likelihood Score with Safeguard in Place]]),"",tblRisk[[#This Row],[Impact Score with Safeguard in Place]]*tblRisk[[#This Row],[Likelihood Score with Safeguard in Place]])</f>
        <v>4</v>
      </c>
      <c r="BB68" s="164">
        <f>tblRisk[[#This Row],[Risk Score With Safeguard in Place]]</f>
        <v>4</v>
      </c>
      <c r="BC68" s="168" t="str">
        <f>IF(tblRisk[[#This Row],[Risk Treatment Option]]&lt;&gt;"Accept",IF(_xlfn.XLOOKUP(tblRisk[[#This Row],[Specific Safeguard Recommendation]],ProTrak[Task],ProTrak[Status],"Not Found")="Completed","Pending Validation","Pending"),"")</f>
        <v/>
      </c>
      <c r="BD68" s="169" t="str">
        <f>_xlfn.XLOOKUP(tblRisk[[#This Row],[Risk Treatment Program]],tblRiskTreatmentPrograms[Risk Treatment Program],tblRiskTreatmentPrograms[Estimated End Date (MM/DD/YYYY)],"")</f>
        <v/>
      </c>
      <c r="BE68" s="170"/>
      <c r="BF68" s="171" t="str">
        <f>_xlfn.IFNA(IF(tblRisk[[#This Row],[Due Date]]&lt;=vWhatIfQuarter,"Closed",""),"")</f>
        <v/>
      </c>
      <c r="BG68" s="171">
        <f>IF(tblRisk[[#This Row],[Scenario Builder Status]]="Closed",tblRisk[[#This Row],[Risk Score With Safeguard in Place]],tblRisk[[#This Row],[Risk Score]])</f>
        <v>4</v>
      </c>
      <c r="BH68" s="192" t="str">
        <f>tblRisk[[#This Row],[Common Security Program]]&amp;tblRisk[[#This Row],[Common Security Control]]&amp;tblRisk[[#This Row],[Asset Designation ]]</f>
        <v>Monitoring &amp; LoggingOperationNetwork</v>
      </c>
      <c r="BI68" s="191"/>
      <c r="BJ68" s="191"/>
      <c r="BK68" s="191"/>
      <c r="BL68" s="191"/>
      <c r="BM68" s="191"/>
      <c r="BN68" s="191"/>
      <c r="BO68" s="191"/>
      <c r="BP68" s="191"/>
      <c r="BQ68" s="191"/>
    </row>
    <row r="69" spans="1:69" ht="267.75" x14ac:dyDescent="0.65">
      <c r="A69" s="160">
        <v>66</v>
      </c>
      <c r="B69" s="160" t="s">
        <v>899</v>
      </c>
      <c r="C69" s="19" t="s">
        <v>947</v>
      </c>
      <c r="D69" s="28" t="s">
        <v>1187</v>
      </c>
      <c r="E69" s="207" t="s">
        <v>1091</v>
      </c>
      <c r="F69" s="194"/>
      <c r="G69" s="194" t="s">
        <v>117</v>
      </c>
      <c r="H69" s="194" t="s">
        <v>117</v>
      </c>
      <c r="I69" s="194" t="s">
        <v>1080</v>
      </c>
      <c r="J69" s="194" t="s">
        <v>1080</v>
      </c>
      <c r="K69" s="194" t="s">
        <v>1080</v>
      </c>
      <c r="L69" s="194" t="s">
        <v>1080</v>
      </c>
      <c r="M69" s="194" t="s">
        <v>1080</v>
      </c>
      <c r="N69" s="194">
        <f>COUNTIF(tblRisk[[#This Row],[Defends Against Malware]:[Defends Against Targeted Intrusions]],"Yes")</f>
        <v>0</v>
      </c>
      <c r="O69" s="160" t="s">
        <v>21</v>
      </c>
      <c r="P69" s="160" t="s">
        <v>88</v>
      </c>
      <c r="Q69" s="160" t="s">
        <v>30</v>
      </c>
      <c r="R69" s="160" t="s">
        <v>1085</v>
      </c>
      <c r="S69" s="160" t="s">
        <v>1426</v>
      </c>
      <c r="T69" s="160" t="s">
        <v>1425</v>
      </c>
      <c r="U69" s="19" t="s">
        <v>1906</v>
      </c>
      <c r="V69" s="19" t="s">
        <v>1652</v>
      </c>
      <c r="W69" s="160" t="s">
        <v>1709</v>
      </c>
      <c r="X69" s="160" t="s">
        <v>1783</v>
      </c>
      <c r="Y69" s="151">
        <f>IF(ISBLANK(tblRisk[[#This Row],[Threat Cluster]]),"",_xlfn.XLOOKUP(tblRisk[[#This Row],[Threat Cluster]],tblHIT[Threat Cluster],tblHIT[Quintile]))</f>
        <v>2</v>
      </c>
      <c r="Z69" s="152">
        <v>4</v>
      </c>
      <c r="AA69" s="153" t="str">
        <f>IF(OR(ISBLANK(tblRisk[[#This Row],[HIT Quintile]]),ISBLANK(tblRisk[[#This Row],[Control Maturity]])),"",_xlfn.XLOOKUP(tblRisk[[#This Row],[Control Maturity]] &amp; tblRisk[[#This Row],[HIT Quintile]],tblHITWDI[Lookup],tblHITWDI[Likelihood Description]))</f>
        <v>Foreseeable, not expected</v>
      </c>
      <c r="AB69" s="161">
        <f>IF(ISERROR(tblRisk[[#This Row],[Likelihood of Control Failure]]),"",VLOOKUP(tblRisk[[#This Row],[Likelihood of Control Failure]],tblLikelihood[],2,FALSE))</f>
        <v>2</v>
      </c>
      <c r="AC69" s="154">
        <v>2</v>
      </c>
      <c r="AD69" s="155">
        <v>2</v>
      </c>
      <c r="AE69" s="155">
        <v>2</v>
      </c>
      <c r="AF69" s="162">
        <f>IF(ISBLANK(tblRisk[[#This Row],[Impact to Mission]]),"",MAX(tblRisk[[#This Row],[Impact to Mission]:[Impact to Obligations]]))</f>
        <v>2</v>
      </c>
      <c r="AG69" s="163">
        <f>IF(ISERROR(tblRisk[[#This Row],[Impact Score]]*tblRisk[[#This Row],[Likelihood Score]]),"",tblRisk[[#This Row],[Likelihood Score]]*tblRisk[[#This Row],[Impact Score]])</f>
        <v>4</v>
      </c>
      <c r="AH69" s="163">
        <f>tblRisk[[#This Row],[Risk Score]]</f>
        <v>4</v>
      </c>
      <c r="AI69" s="164">
        <f t="shared" si="2"/>
        <v>9</v>
      </c>
      <c r="AJ69" s="164">
        <f>IF(tblRisk[[#This Row],[Safeguard Status]]="In Place",tblRisk[[#This Row],[Control Maturity after SG]],tblRisk[[#This Row],[Control Maturity]])</f>
        <v>4</v>
      </c>
      <c r="AK69" s="173" t="str">
        <f>IF(tblRisk[[#This Row],[Safeguard Status]]="In Place",tblRisk[[#This Row],[Safeguard Threat Cluster]],tblRisk[[#This Row],[Threat Cluster]])</f>
        <v>Hacking System</v>
      </c>
      <c r="AL69" s="164">
        <f>IF(tblRisk[[#This Row],[Safeguard Status]]="In Place",tblRisk[[#This Row],[Risk Level With Safeguard in Place]],tblRisk[[#This Row],[Risk Level]])</f>
        <v>4</v>
      </c>
      <c r="AM69" s="165" t="s">
        <v>1887</v>
      </c>
      <c r="AN69" s="165" t="str">
        <f>IF(tblRisk[[#This Row],[Risk Treatment Option]]="Manage",_xlfn.IFNA(INDEX(tblRiskTreatmentPrograms[#Data],MATCH(tblRisk[[#This Row],[Common Security Program]]&amp;tblRisk[[#This Row],[Common Security Control]],tblRiskTreatmentPrograms[Lookup],0),MATCH($AN$3,tblRiskTreatmentPrograms[#Headers],0)),txtBadRTP),"")</f>
        <v/>
      </c>
      <c r="AO69" s="165" t="str">
        <f>IF(tblRisk[[#This Row],[Risk Treatment Program]]="","",INDEX(tblRiskTreatmentPrograms[#Data],MATCH(tblRisk[[#This Row],[Risk Treatment Program]],tblRiskTreatmentPrograms[Risk Treatment Program],0),MATCH($AO$3,tblRiskTreatmentPrograms[#Headers],0)))</f>
        <v/>
      </c>
      <c r="AP69" s="165"/>
      <c r="AQ6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69" s="19" t="str">
        <f>tblRisk[[#This Row],[Threat Cluster]]</f>
        <v>Hacking System</v>
      </c>
      <c r="AS69" s="156">
        <f>IF(ISBLANK(tblRisk[[#This Row],[Safeguard Threat Cluster]]),"",_xlfn.XLOOKUP(tblRisk[[#This Row],[Safeguard Threat Cluster]],tblHIT[Threat Cluster],tblHIT[Quintile]))</f>
        <v>2</v>
      </c>
      <c r="AT69" s="157">
        <f>_xlfn.SWITCH(tblRisk[[#This Row],[Risk Treatment Option]],"Manage",tblRisk[[#This Row],[Control Maturity]]+1,tblRisk[[#This Row],[Control Maturity]])</f>
        <v>4</v>
      </c>
      <c r="AU6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69" s="166">
        <f>IF(ISERROR(tblRisk[[#This Row],[Likelihood of Control Failure after SG]]),"",VLOOKUP(tblRisk[[#This Row],[Likelihood of Control Failure after SG]],tblLikelihood[#Data],2,FALSE))</f>
        <v>2</v>
      </c>
      <c r="AW69" s="159">
        <f>tblRisk[[#This Row],[Impact to Mission]]</f>
        <v>2</v>
      </c>
      <c r="AX69" s="159">
        <f>tblRisk[[#This Row],[Impact to Objectives]]</f>
        <v>2</v>
      </c>
      <c r="AY69" s="159">
        <f>tblRisk[[#This Row],[Impact to Obligations]]</f>
        <v>2</v>
      </c>
      <c r="AZ69" s="166">
        <f>IF(ISBLANK(tblRisk[[#This Row],[Impact to Mission With Safeguard in Place]]),"",MAX(tblRisk[[#This Row],[Impact to Mission With Safeguard in Place]:[Impact to Obligations With Safeguard in Place]]))</f>
        <v>2</v>
      </c>
      <c r="BA69" s="167">
        <f>IF(ISERROR(tblRisk[[#This Row],[Impact Score with Safeguard in Place]]*tblRisk[[#This Row],[Likelihood Score with Safeguard in Place]]),"",tblRisk[[#This Row],[Impact Score with Safeguard in Place]]*tblRisk[[#This Row],[Likelihood Score with Safeguard in Place]])</f>
        <v>4</v>
      </c>
      <c r="BB69" s="164">
        <f>tblRisk[[#This Row],[Risk Score With Safeguard in Place]]</f>
        <v>4</v>
      </c>
      <c r="BC69" s="168" t="str">
        <f>IF(tblRisk[[#This Row],[Risk Treatment Option]]&lt;&gt;"Accept",IF(_xlfn.XLOOKUP(tblRisk[[#This Row],[Specific Safeguard Recommendation]],ProTrak[Task],ProTrak[Status],"Not Found")="Completed","Pending Validation","Pending"),"")</f>
        <v/>
      </c>
      <c r="BD69" s="169" t="str">
        <f>_xlfn.XLOOKUP(tblRisk[[#This Row],[Risk Treatment Program]],tblRiskTreatmentPrograms[Risk Treatment Program],tblRiskTreatmentPrograms[Estimated End Date (MM/DD/YYYY)],"")</f>
        <v/>
      </c>
      <c r="BE69" s="170"/>
      <c r="BF69" s="171" t="str">
        <f>_xlfn.IFNA(IF(tblRisk[[#This Row],[Due Date]]&lt;=vWhatIfQuarter,"Closed",""),"")</f>
        <v/>
      </c>
      <c r="BG69" s="171">
        <f>IF(tblRisk[[#This Row],[Scenario Builder Status]]="Closed",tblRisk[[#This Row],[Risk Score With Safeguard in Place]],tblRisk[[#This Row],[Risk Score]])</f>
        <v>4</v>
      </c>
      <c r="BH69" s="192" t="str">
        <f>tblRisk[[#This Row],[Common Security Program]]&amp;tblRisk[[#This Row],[Common Security Control]]&amp;tblRisk[[#This Row],[Asset Designation ]]</f>
        <v>Monitoring &amp; LoggingOperationNetwork</v>
      </c>
      <c r="BI69" s="191"/>
      <c r="BJ69" s="191"/>
      <c r="BK69" s="191"/>
      <c r="BL69" s="191"/>
      <c r="BM69" s="191"/>
      <c r="BN69" s="191"/>
      <c r="BO69" s="191"/>
      <c r="BP69" s="191"/>
      <c r="BQ69" s="191"/>
    </row>
    <row r="70" spans="1:69" ht="267.75" x14ac:dyDescent="0.65">
      <c r="A70" s="160">
        <v>67</v>
      </c>
      <c r="B70" s="160" t="s">
        <v>899</v>
      </c>
      <c r="C70" s="19" t="s">
        <v>948</v>
      </c>
      <c r="D70" s="28" t="s">
        <v>1188</v>
      </c>
      <c r="E70" s="207" t="s">
        <v>1091</v>
      </c>
      <c r="F70" s="194"/>
      <c r="G70" s="194" t="s">
        <v>117</v>
      </c>
      <c r="H70" s="194" t="s">
        <v>117</v>
      </c>
      <c r="I70" s="194" t="s">
        <v>1080</v>
      </c>
      <c r="J70" s="194" t="s">
        <v>1080</v>
      </c>
      <c r="K70" s="194" t="s">
        <v>1080</v>
      </c>
      <c r="L70" s="194" t="s">
        <v>1080</v>
      </c>
      <c r="M70" s="194" t="s">
        <v>1080</v>
      </c>
      <c r="N70" s="194">
        <f>COUNTIF(tblRisk[[#This Row],[Defends Against Malware]:[Defends Against Targeted Intrusions]],"Yes")</f>
        <v>0</v>
      </c>
      <c r="O70" s="160" t="s">
        <v>21</v>
      </c>
      <c r="P70" s="160" t="s">
        <v>88</v>
      </c>
      <c r="Q70" s="160" t="s">
        <v>30</v>
      </c>
      <c r="R70" s="160" t="s">
        <v>1082</v>
      </c>
      <c r="S70" s="160" t="s">
        <v>1426</v>
      </c>
      <c r="T70" s="160" t="s">
        <v>1425</v>
      </c>
      <c r="U70" s="19" t="s">
        <v>1906</v>
      </c>
      <c r="V70" s="160" t="s">
        <v>1594</v>
      </c>
      <c r="W70" s="160" t="s">
        <v>1709</v>
      </c>
      <c r="X70" s="160" t="s">
        <v>1784</v>
      </c>
      <c r="Y70" s="151">
        <f>IF(ISBLANK(tblRisk[[#This Row],[Threat Cluster]]),"",_xlfn.XLOOKUP(tblRisk[[#This Row],[Threat Cluster]],tblHIT[Threat Cluster],tblHIT[Quintile]))</f>
        <v>2</v>
      </c>
      <c r="Z70" s="152">
        <v>4</v>
      </c>
      <c r="AA70" s="153" t="str">
        <f>IF(OR(ISBLANK(tblRisk[[#This Row],[HIT Quintile]]),ISBLANK(tblRisk[[#This Row],[Control Maturity]])),"",_xlfn.XLOOKUP(tblRisk[[#This Row],[Control Maturity]] &amp; tblRisk[[#This Row],[HIT Quintile]],tblHITWDI[Lookup],tblHITWDI[Likelihood Description]))</f>
        <v>Foreseeable, not expected</v>
      </c>
      <c r="AB70" s="161">
        <f>IF(ISERROR(tblRisk[[#This Row],[Likelihood of Control Failure]]),"",VLOOKUP(tblRisk[[#This Row],[Likelihood of Control Failure]],tblLikelihood[],2,FALSE))</f>
        <v>2</v>
      </c>
      <c r="AC70" s="154">
        <v>2</v>
      </c>
      <c r="AD70" s="155">
        <v>2</v>
      </c>
      <c r="AE70" s="155">
        <v>2</v>
      </c>
      <c r="AF70" s="162">
        <f>IF(ISBLANK(tblRisk[[#This Row],[Impact to Mission]]),"",MAX(tblRisk[[#This Row],[Impact to Mission]:[Impact to Obligations]]))</f>
        <v>2</v>
      </c>
      <c r="AG70" s="163">
        <f>IF(ISERROR(tblRisk[[#This Row],[Impact Score]]*tblRisk[[#This Row],[Likelihood Score]]),"",tblRisk[[#This Row],[Likelihood Score]]*tblRisk[[#This Row],[Impact Score]])</f>
        <v>4</v>
      </c>
      <c r="AH70" s="163">
        <f>tblRisk[[#This Row],[Risk Score]]</f>
        <v>4</v>
      </c>
      <c r="AI70" s="164">
        <f t="shared" si="2"/>
        <v>9</v>
      </c>
      <c r="AJ70" s="164">
        <f>IF(tblRisk[[#This Row],[Safeguard Status]]="In Place",tblRisk[[#This Row],[Control Maturity after SG]],tblRisk[[#This Row],[Control Maturity]])</f>
        <v>4</v>
      </c>
      <c r="AK70" s="173" t="str">
        <f>IF(tblRisk[[#This Row],[Safeguard Status]]="In Place",tblRisk[[#This Row],[Safeguard Threat Cluster]],tblRisk[[#This Row],[Threat Cluster]])</f>
        <v>Hacking System</v>
      </c>
      <c r="AL70" s="164">
        <f>IF(tblRisk[[#This Row],[Safeguard Status]]="In Place",tblRisk[[#This Row],[Risk Level With Safeguard in Place]],tblRisk[[#This Row],[Risk Level]])</f>
        <v>4</v>
      </c>
      <c r="AM70" s="165" t="s">
        <v>1887</v>
      </c>
      <c r="AN70" s="165" t="str">
        <f>IF(tblRisk[[#This Row],[Risk Treatment Option]]="Manage",_xlfn.IFNA(INDEX(tblRiskTreatmentPrograms[#Data],MATCH(tblRisk[[#This Row],[Common Security Program]]&amp;tblRisk[[#This Row],[Common Security Control]],tblRiskTreatmentPrograms[Lookup],0),MATCH($AN$3,tblRiskTreatmentPrograms[#Headers],0)),txtBadRTP),"")</f>
        <v/>
      </c>
      <c r="AO70" s="165" t="str">
        <f>IF(tblRisk[[#This Row],[Risk Treatment Program]]="","",INDEX(tblRiskTreatmentPrograms[#Data],MATCH(tblRisk[[#This Row],[Risk Treatment Program]],tblRiskTreatmentPrograms[Risk Treatment Program],0),MATCH($AO$3,tblRiskTreatmentPrograms[#Headers],0)))</f>
        <v/>
      </c>
      <c r="AP70" s="165"/>
      <c r="AQ7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0" s="19" t="str">
        <f>tblRisk[[#This Row],[Threat Cluster]]</f>
        <v>Hacking System</v>
      </c>
      <c r="AS70" s="156">
        <f>IF(ISBLANK(tblRisk[[#This Row],[Safeguard Threat Cluster]]),"",_xlfn.XLOOKUP(tblRisk[[#This Row],[Safeguard Threat Cluster]],tblHIT[Threat Cluster],tblHIT[Quintile]))</f>
        <v>2</v>
      </c>
      <c r="AT70" s="157">
        <f>_xlfn.SWITCH(tblRisk[[#This Row],[Risk Treatment Option]],"Manage",tblRisk[[#This Row],[Control Maturity]]+1,tblRisk[[#This Row],[Control Maturity]])</f>
        <v>4</v>
      </c>
      <c r="AU7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0" s="166">
        <f>IF(ISERROR(tblRisk[[#This Row],[Likelihood of Control Failure after SG]]),"",VLOOKUP(tblRisk[[#This Row],[Likelihood of Control Failure after SG]],tblLikelihood[#Data],2,FALSE))</f>
        <v>2</v>
      </c>
      <c r="AW70" s="159">
        <f>tblRisk[[#This Row],[Impact to Mission]]</f>
        <v>2</v>
      </c>
      <c r="AX70" s="159">
        <f>tblRisk[[#This Row],[Impact to Objectives]]</f>
        <v>2</v>
      </c>
      <c r="AY70" s="159">
        <f>tblRisk[[#This Row],[Impact to Obligations]]</f>
        <v>2</v>
      </c>
      <c r="AZ70" s="166">
        <f>IF(ISBLANK(tblRisk[[#This Row],[Impact to Mission With Safeguard in Place]]),"",MAX(tblRisk[[#This Row],[Impact to Mission With Safeguard in Place]:[Impact to Obligations With Safeguard in Place]]))</f>
        <v>2</v>
      </c>
      <c r="BA70" s="167">
        <f>IF(ISERROR(tblRisk[[#This Row],[Impact Score with Safeguard in Place]]*tblRisk[[#This Row],[Likelihood Score with Safeguard in Place]]),"",tblRisk[[#This Row],[Impact Score with Safeguard in Place]]*tblRisk[[#This Row],[Likelihood Score with Safeguard in Place]])</f>
        <v>4</v>
      </c>
      <c r="BB70" s="164">
        <f>tblRisk[[#This Row],[Risk Score With Safeguard in Place]]</f>
        <v>4</v>
      </c>
      <c r="BC70" s="168" t="str">
        <f>IF(tblRisk[[#This Row],[Risk Treatment Option]]&lt;&gt;"Accept",IF(_xlfn.XLOOKUP(tblRisk[[#This Row],[Specific Safeguard Recommendation]],ProTrak[Task],ProTrak[Status],"Not Found")="Completed","Pending Validation","Pending"),"")</f>
        <v/>
      </c>
      <c r="BD70" s="169" t="str">
        <f>_xlfn.XLOOKUP(tblRisk[[#This Row],[Risk Treatment Program]],tblRiskTreatmentPrograms[Risk Treatment Program],tblRiskTreatmentPrograms[Estimated End Date (MM/DD/YYYY)],"")</f>
        <v/>
      </c>
      <c r="BE70" s="170"/>
      <c r="BF70" s="171" t="str">
        <f>_xlfn.IFNA(IF(tblRisk[[#This Row],[Due Date]]&lt;=vWhatIfQuarter,"Closed",""),"")</f>
        <v/>
      </c>
      <c r="BG70" s="171">
        <f>IF(tblRisk[[#This Row],[Scenario Builder Status]]="Closed",tblRisk[[#This Row],[Risk Score With Safeguard in Place]],tblRisk[[#This Row],[Risk Score]])</f>
        <v>4</v>
      </c>
      <c r="BH70" s="192" t="str">
        <f>tblRisk[[#This Row],[Common Security Program]]&amp;tblRisk[[#This Row],[Common Security Control]]&amp;tblRisk[[#This Row],[Asset Designation ]]</f>
        <v>Monitoring &amp; LoggingOperationDevices</v>
      </c>
      <c r="BI70" s="191"/>
      <c r="BJ70" s="191"/>
      <c r="BK70" s="191"/>
      <c r="BL70" s="191"/>
      <c r="BM70" s="191"/>
      <c r="BN70" s="191"/>
      <c r="BO70" s="191"/>
      <c r="BP70" s="191"/>
      <c r="BQ70" s="191"/>
    </row>
    <row r="71" spans="1:69" ht="267.75" x14ac:dyDescent="0.65">
      <c r="A71" s="160">
        <v>68</v>
      </c>
      <c r="B71" s="160" t="s">
        <v>899</v>
      </c>
      <c r="C71" s="19" t="s">
        <v>949</v>
      </c>
      <c r="D71" s="28" t="s">
        <v>1189</v>
      </c>
      <c r="E71" s="207" t="s">
        <v>1096</v>
      </c>
      <c r="F71" s="194"/>
      <c r="G71" s="194" t="s">
        <v>117</v>
      </c>
      <c r="H71" s="194" t="s">
        <v>117</v>
      </c>
      <c r="I71" s="194" t="s">
        <v>1081</v>
      </c>
      <c r="J71" s="194" t="s">
        <v>1081</v>
      </c>
      <c r="K71" s="194" t="s">
        <v>1081</v>
      </c>
      <c r="L71" s="194" t="s">
        <v>1081</v>
      </c>
      <c r="M71" s="194" t="s">
        <v>1081</v>
      </c>
      <c r="N71" s="194">
        <f>COUNTIF(tblRisk[[#This Row],[Defends Against Malware]:[Defends Against Targeted Intrusions]],"Yes")</f>
        <v>5</v>
      </c>
      <c r="O71" s="160" t="s">
        <v>21</v>
      </c>
      <c r="P71" s="160" t="s">
        <v>88</v>
      </c>
      <c r="Q71" s="160" t="s">
        <v>611</v>
      </c>
      <c r="R71" s="160" t="s">
        <v>1085</v>
      </c>
      <c r="S71" s="160" t="s">
        <v>1426</v>
      </c>
      <c r="T71" s="160" t="s">
        <v>1425</v>
      </c>
      <c r="U71" s="19" t="s">
        <v>1906</v>
      </c>
      <c r="V71" s="160" t="s">
        <v>1595</v>
      </c>
      <c r="W71" s="160" t="s">
        <v>1709</v>
      </c>
      <c r="X71" s="160" t="s">
        <v>1785</v>
      </c>
      <c r="Y71" s="151">
        <f>IF(ISBLANK(tblRisk[[#This Row],[Threat Cluster]]),"",_xlfn.XLOOKUP(tblRisk[[#This Row],[Threat Cluster]],tblHIT[Threat Cluster],tblHIT[Quintile]))</f>
        <v>3</v>
      </c>
      <c r="Z71" s="152">
        <v>4</v>
      </c>
      <c r="AA71" s="153" t="str">
        <f>IF(OR(ISBLANK(tblRisk[[#This Row],[HIT Quintile]]),ISBLANK(tblRisk[[#This Row],[Control Maturity]])),"",_xlfn.XLOOKUP(tblRisk[[#This Row],[Control Maturity]] &amp; tblRisk[[#This Row],[HIT Quintile]],tblHITWDI[Lookup],tblHITWDI[Likelihood Description]))</f>
        <v>Foreseeable, not expected</v>
      </c>
      <c r="AB71" s="161">
        <f>IF(ISERROR(tblRisk[[#This Row],[Likelihood of Control Failure]]),"",VLOOKUP(tblRisk[[#This Row],[Likelihood of Control Failure]],tblLikelihood[],2,FALSE))</f>
        <v>2</v>
      </c>
      <c r="AC71" s="154">
        <v>2</v>
      </c>
      <c r="AD71" s="155">
        <v>2</v>
      </c>
      <c r="AE71" s="155">
        <v>2</v>
      </c>
      <c r="AF71" s="162">
        <f>IF(ISBLANK(tblRisk[[#This Row],[Impact to Mission]]),"",MAX(tblRisk[[#This Row],[Impact to Mission]:[Impact to Obligations]]))</f>
        <v>2</v>
      </c>
      <c r="AG71" s="163">
        <f>IF(ISERROR(tblRisk[[#This Row],[Impact Score]]*tblRisk[[#This Row],[Likelihood Score]]),"",tblRisk[[#This Row],[Likelihood Score]]*tblRisk[[#This Row],[Impact Score]])</f>
        <v>4</v>
      </c>
      <c r="AH71" s="163">
        <f>tblRisk[[#This Row],[Risk Score]]</f>
        <v>4</v>
      </c>
      <c r="AI71" s="164">
        <f t="shared" si="2"/>
        <v>9</v>
      </c>
      <c r="AJ71" s="164">
        <f>IF(tblRisk[[#This Row],[Safeguard Status]]="In Place",tblRisk[[#This Row],[Control Maturity after SG]],tblRisk[[#This Row],[Control Maturity]])</f>
        <v>4</v>
      </c>
      <c r="AK71" s="173" t="str">
        <f>IF(tblRisk[[#This Row],[Safeguard Status]]="In Place",tblRisk[[#This Row],[Safeguard Threat Cluster]],tblRisk[[#This Row],[Threat Cluster]])</f>
        <v>Physical Facility</v>
      </c>
      <c r="AL71" s="164">
        <f>IF(tblRisk[[#This Row],[Safeguard Status]]="In Place",tblRisk[[#This Row],[Risk Level With Safeguard in Place]],tblRisk[[#This Row],[Risk Level]])</f>
        <v>4</v>
      </c>
      <c r="AM71" s="165" t="s">
        <v>1887</v>
      </c>
      <c r="AN71" s="165" t="str">
        <f>IF(tblRisk[[#This Row],[Risk Treatment Option]]="Manage",_xlfn.IFNA(INDEX(tblRiskTreatmentPrograms[#Data],MATCH(tblRisk[[#This Row],[Common Security Program]]&amp;tblRisk[[#This Row],[Common Security Control]],tblRiskTreatmentPrograms[Lookup],0),MATCH($AN$3,tblRiskTreatmentPrograms[#Headers],0)),txtBadRTP),"")</f>
        <v/>
      </c>
      <c r="AO71" s="165" t="str">
        <f>IF(tblRisk[[#This Row],[Risk Treatment Program]]="","",INDEX(tblRiskTreatmentPrograms[#Data],MATCH(tblRisk[[#This Row],[Risk Treatment Program]],tblRiskTreatmentPrograms[Risk Treatment Program],0),MATCH($AO$3,tblRiskTreatmentPrograms[#Headers],0)))</f>
        <v/>
      </c>
      <c r="AP71" s="165"/>
      <c r="AQ7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1" s="19" t="str">
        <f>tblRisk[[#This Row],[Threat Cluster]]</f>
        <v>Physical Facility</v>
      </c>
      <c r="AS71" s="156">
        <f>IF(ISBLANK(tblRisk[[#This Row],[Safeguard Threat Cluster]]),"",_xlfn.XLOOKUP(tblRisk[[#This Row],[Safeguard Threat Cluster]],tblHIT[Threat Cluster],tblHIT[Quintile]))</f>
        <v>3</v>
      </c>
      <c r="AT71" s="157">
        <f>_xlfn.SWITCH(tblRisk[[#This Row],[Risk Treatment Option]],"Manage",tblRisk[[#This Row],[Control Maturity]]+1,tblRisk[[#This Row],[Control Maturity]])</f>
        <v>4</v>
      </c>
      <c r="AU7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1" s="166">
        <f>IF(ISERROR(tblRisk[[#This Row],[Likelihood of Control Failure after SG]]),"",VLOOKUP(tblRisk[[#This Row],[Likelihood of Control Failure after SG]],tblLikelihood[#Data],2,FALSE))</f>
        <v>2</v>
      </c>
      <c r="AW71" s="159">
        <f>tblRisk[[#This Row],[Impact to Mission]]</f>
        <v>2</v>
      </c>
      <c r="AX71" s="159">
        <f>tblRisk[[#This Row],[Impact to Objectives]]</f>
        <v>2</v>
      </c>
      <c r="AY71" s="159">
        <f>tblRisk[[#This Row],[Impact to Obligations]]</f>
        <v>2</v>
      </c>
      <c r="AZ71" s="166">
        <f>IF(ISBLANK(tblRisk[[#This Row],[Impact to Mission With Safeguard in Place]]),"",MAX(tblRisk[[#This Row],[Impact to Mission With Safeguard in Place]:[Impact to Obligations With Safeguard in Place]]))</f>
        <v>2</v>
      </c>
      <c r="BA71" s="167">
        <f>IF(ISERROR(tblRisk[[#This Row],[Impact Score with Safeguard in Place]]*tblRisk[[#This Row],[Likelihood Score with Safeguard in Place]]),"",tblRisk[[#This Row],[Impact Score with Safeguard in Place]]*tblRisk[[#This Row],[Likelihood Score with Safeguard in Place]])</f>
        <v>4</v>
      </c>
      <c r="BB71" s="164">
        <f>tblRisk[[#This Row],[Risk Score With Safeguard in Place]]</f>
        <v>4</v>
      </c>
      <c r="BC71" s="168" t="str">
        <f>IF(tblRisk[[#This Row],[Risk Treatment Option]]&lt;&gt;"Accept",IF(_xlfn.XLOOKUP(tblRisk[[#This Row],[Specific Safeguard Recommendation]],ProTrak[Task],ProTrak[Status],"Not Found")="Completed","Pending Validation","Pending"),"")</f>
        <v/>
      </c>
      <c r="BD71" s="169" t="str">
        <f>_xlfn.XLOOKUP(tblRisk[[#This Row],[Risk Treatment Program]],tblRiskTreatmentPrograms[Risk Treatment Program],tblRiskTreatmentPrograms[Estimated End Date (MM/DD/YYYY)],"")</f>
        <v/>
      </c>
      <c r="BE71" s="170"/>
      <c r="BF71" s="171" t="str">
        <f>_xlfn.IFNA(IF(tblRisk[[#This Row],[Due Date]]&lt;=vWhatIfQuarter,"Closed",""),"")</f>
        <v/>
      </c>
      <c r="BG71" s="171">
        <f>IF(tblRisk[[#This Row],[Scenario Builder Status]]="Closed",tblRisk[[#This Row],[Risk Score With Safeguard in Place]],tblRisk[[#This Row],[Risk Score]])</f>
        <v>4</v>
      </c>
      <c r="BH71" s="192" t="str">
        <f>tblRisk[[#This Row],[Common Security Program]]&amp;tblRisk[[#This Row],[Common Security Control]]&amp;tblRisk[[#This Row],[Asset Designation ]]</f>
        <v>Monitoring &amp; LoggingOperationNetwork</v>
      </c>
      <c r="BI71" s="191"/>
      <c r="BJ71" s="191"/>
      <c r="BK71" s="191"/>
      <c r="BL71" s="191" t="s">
        <v>117</v>
      </c>
      <c r="BM71" s="191" t="s">
        <v>117</v>
      </c>
      <c r="BN71" s="191" t="s">
        <v>117</v>
      </c>
      <c r="BO71" s="191" t="s">
        <v>117</v>
      </c>
      <c r="BP71" s="191"/>
      <c r="BQ71" s="191"/>
    </row>
    <row r="72" spans="1:69" ht="267.75" x14ac:dyDescent="0.65">
      <c r="A72" s="160">
        <v>69</v>
      </c>
      <c r="B72" s="160" t="s">
        <v>899</v>
      </c>
      <c r="C72" s="19" t="s">
        <v>950</v>
      </c>
      <c r="D72" s="28" t="s">
        <v>1190</v>
      </c>
      <c r="E72" s="207" t="s">
        <v>1096</v>
      </c>
      <c r="F72" s="194"/>
      <c r="G72" s="194" t="s">
        <v>117</v>
      </c>
      <c r="H72" s="194" t="s">
        <v>117</v>
      </c>
      <c r="I72" s="194" t="s">
        <v>1081</v>
      </c>
      <c r="J72" s="194" t="s">
        <v>1081</v>
      </c>
      <c r="K72" s="194" t="s">
        <v>1081</v>
      </c>
      <c r="L72" s="194" t="s">
        <v>1081</v>
      </c>
      <c r="M72" s="194" t="s">
        <v>1081</v>
      </c>
      <c r="N72" s="194">
        <f>COUNTIF(tblRisk[[#This Row],[Defends Against Malware]:[Defends Against Targeted Intrusions]],"Yes")</f>
        <v>5</v>
      </c>
      <c r="O72" s="160" t="s">
        <v>21</v>
      </c>
      <c r="P72" s="160" t="s">
        <v>88</v>
      </c>
      <c r="Q72" s="160" t="s">
        <v>30</v>
      </c>
      <c r="R72" s="160" t="s">
        <v>1085</v>
      </c>
      <c r="S72" s="160" t="s">
        <v>1426</v>
      </c>
      <c r="T72" s="160" t="s">
        <v>1425</v>
      </c>
      <c r="U72" s="19" t="s">
        <v>1906</v>
      </c>
      <c r="V72" s="19" t="s">
        <v>1653</v>
      </c>
      <c r="W72" s="160" t="s">
        <v>1709</v>
      </c>
      <c r="X72" s="160" t="s">
        <v>1786</v>
      </c>
      <c r="Y72" s="151">
        <f>IF(ISBLANK(tblRisk[[#This Row],[Threat Cluster]]),"",_xlfn.XLOOKUP(tblRisk[[#This Row],[Threat Cluster]],tblHIT[Threat Cluster],tblHIT[Quintile]))</f>
        <v>2</v>
      </c>
      <c r="Z72" s="152">
        <v>4</v>
      </c>
      <c r="AA72" s="153" t="str">
        <f>IF(OR(ISBLANK(tblRisk[[#This Row],[HIT Quintile]]),ISBLANK(tblRisk[[#This Row],[Control Maturity]])),"",_xlfn.XLOOKUP(tblRisk[[#This Row],[Control Maturity]] &amp; tblRisk[[#This Row],[HIT Quintile]],tblHITWDI[Lookup],tblHITWDI[Likelihood Description]))</f>
        <v>Foreseeable, not expected</v>
      </c>
      <c r="AB72" s="161">
        <f>IF(ISERROR(tblRisk[[#This Row],[Likelihood of Control Failure]]),"",VLOOKUP(tblRisk[[#This Row],[Likelihood of Control Failure]],tblLikelihood[],2,FALSE))</f>
        <v>2</v>
      </c>
      <c r="AC72" s="154">
        <v>2</v>
      </c>
      <c r="AD72" s="155">
        <v>2</v>
      </c>
      <c r="AE72" s="155">
        <v>2</v>
      </c>
      <c r="AF72" s="162">
        <f>IF(ISBLANK(tblRisk[[#This Row],[Impact to Mission]]),"",MAX(tblRisk[[#This Row],[Impact to Mission]:[Impact to Obligations]]))</f>
        <v>2</v>
      </c>
      <c r="AG72" s="163">
        <f>IF(ISERROR(tblRisk[[#This Row],[Impact Score]]*tblRisk[[#This Row],[Likelihood Score]]),"",tblRisk[[#This Row],[Likelihood Score]]*tblRisk[[#This Row],[Impact Score]])</f>
        <v>4</v>
      </c>
      <c r="AH72" s="163">
        <f>tblRisk[[#This Row],[Risk Score]]</f>
        <v>4</v>
      </c>
      <c r="AI72" s="164">
        <f t="shared" si="2"/>
        <v>9</v>
      </c>
      <c r="AJ72" s="164">
        <f>IF(tblRisk[[#This Row],[Safeguard Status]]="In Place",tblRisk[[#This Row],[Control Maturity after SG]],tblRisk[[#This Row],[Control Maturity]])</f>
        <v>4</v>
      </c>
      <c r="AK72" s="173" t="str">
        <f>IF(tblRisk[[#This Row],[Safeguard Status]]="In Place",tblRisk[[#This Row],[Safeguard Threat Cluster]],tblRisk[[#This Row],[Threat Cluster]])</f>
        <v>Hacking System</v>
      </c>
      <c r="AL72" s="164">
        <f>IF(tblRisk[[#This Row],[Safeguard Status]]="In Place",tblRisk[[#This Row],[Risk Level With Safeguard in Place]],tblRisk[[#This Row],[Risk Level]])</f>
        <v>4</v>
      </c>
      <c r="AM72" s="165" t="s">
        <v>1887</v>
      </c>
      <c r="AN72" s="165" t="str">
        <f>IF(tblRisk[[#This Row],[Risk Treatment Option]]="Manage",_xlfn.IFNA(INDEX(tblRiskTreatmentPrograms[#Data],MATCH(tblRisk[[#This Row],[Common Security Program]]&amp;tblRisk[[#This Row],[Common Security Control]],tblRiskTreatmentPrograms[Lookup],0),MATCH($AN$3,tblRiskTreatmentPrograms[#Headers],0)),txtBadRTP),"")</f>
        <v/>
      </c>
      <c r="AO72" s="165" t="str">
        <f>IF(tblRisk[[#This Row],[Risk Treatment Program]]="","",INDEX(tblRiskTreatmentPrograms[#Data],MATCH(tblRisk[[#This Row],[Risk Treatment Program]],tblRiskTreatmentPrograms[Risk Treatment Program],0),MATCH($AO$3,tblRiskTreatmentPrograms[#Headers],0)))</f>
        <v/>
      </c>
      <c r="AP72" s="165"/>
      <c r="AQ7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2" s="19" t="str">
        <f>tblRisk[[#This Row],[Threat Cluster]]</f>
        <v>Hacking System</v>
      </c>
      <c r="AS72" s="156">
        <f>IF(ISBLANK(tblRisk[[#This Row],[Safeguard Threat Cluster]]),"",_xlfn.XLOOKUP(tblRisk[[#This Row],[Safeguard Threat Cluster]],tblHIT[Threat Cluster],tblHIT[Quintile]))</f>
        <v>2</v>
      </c>
      <c r="AT72" s="157">
        <f>_xlfn.SWITCH(tblRisk[[#This Row],[Risk Treatment Option]],"Manage",tblRisk[[#This Row],[Control Maturity]]+1,tblRisk[[#This Row],[Control Maturity]])</f>
        <v>4</v>
      </c>
      <c r="AU7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2" s="166">
        <f>IF(ISERROR(tblRisk[[#This Row],[Likelihood of Control Failure after SG]]),"",VLOOKUP(tblRisk[[#This Row],[Likelihood of Control Failure after SG]],tblLikelihood[#Data],2,FALSE))</f>
        <v>2</v>
      </c>
      <c r="AW72" s="159">
        <f>tblRisk[[#This Row],[Impact to Mission]]</f>
        <v>2</v>
      </c>
      <c r="AX72" s="159">
        <f>tblRisk[[#This Row],[Impact to Objectives]]</f>
        <v>2</v>
      </c>
      <c r="AY72" s="159">
        <f>tblRisk[[#This Row],[Impact to Obligations]]</f>
        <v>2</v>
      </c>
      <c r="AZ72" s="166">
        <f>IF(ISBLANK(tblRisk[[#This Row],[Impact to Mission With Safeguard in Place]]),"",MAX(tblRisk[[#This Row],[Impact to Mission With Safeguard in Place]:[Impact to Obligations With Safeguard in Place]]))</f>
        <v>2</v>
      </c>
      <c r="BA72" s="167">
        <f>IF(ISERROR(tblRisk[[#This Row],[Impact Score with Safeguard in Place]]*tblRisk[[#This Row],[Likelihood Score with Safeguard in Place]]),"",tblRisk[[#This Row],[Impact Score with Safeguard in Place]]*tblRisk[[#This Row],[Likelihood Score with Safeguard in Place]])</f>
        <v>4</v>
      </c>
      <c r="BB72" s="164">
        <f>tblRisk[[#This Row],[Risk Score With Safeguard in Place]]</f>
        <v>4</v>
      </c>
      <c r="BC72" s="168" t="str">
        <f>IF(tblRisk[[#This Row],[Risk Treatment Option]]&lt;&gt;"Accept",IF(_xlfn.XLOOKUP(tblRisk[[#This Row],[Specific Safeguard Recommendation]],ProTrak[Task],ProTrak[Status],"Not Found")="Completed","Pending Validation","Pending"),"")</f>
        <v/>
      </c>
      <c r="BD72" s="169" t="str">
        <f>_xlfn.XLOOKUP(tblRisk[[#This Row],[Risk Treatment Program]],tblRiskTreatmentPrograms[Risk Treatment Program],tblRiskTreatmentPrograms[Estimated End Date (MM/DD/YYYY)],"")</f>
        <v/>
      </c>
      <c r="BE72" s="170"/>
      <c r="BF72" s="171" t="str">
        <f>_xlfn.IFNA(IF(tblRisk[[#This Row],[Due Date]]&lt;=vWhatIfQuarter,"Closed",""),"")</f>
        <v/>
      </c>
      <c r="BG72" s="171">
        <f>IF(tblRisk[[#This Row],[Scenario Builder Status]]="Closed",tblRisk[[#This Row],[Risk Score With Safeguard in Place]],tblRisk[[#This Row],[Risk Score]])</f>
        <v>4</v>
      </c>
      <c r="BH72" s="192" t="str">
        <f>tblRisk[[#This Row],[Common Security Program]]&amp;tblRisk[[#This Row],[Common Security Control]]&amp;tblRisk[[#This Row],[Asset Designation ]]</f>
        <v>Monitoring &amp; LoggingOperationNetwork</v>
      </c>
      <c r="BI72" s="191"/>
      <c r="BJ72" s="191"/>
      <c r="BK72" s="191"/>
      <c r="BL72" s="191" t="s">
        <v>117</v>
      </c>
      <c r="BM72" s="191" t="s">
        <v>117</v>
      </c>
      <c r="BN72" s="191" t="s">
        <v>117</v>
      </c>
      <c r="BO72" s="191" t="s">
        <v>117</v>
      </c>
      <c r="BP72" s="191"/>
      <c r="BQ72" s="191"/>
    </row>
    <row r="73" spans="1:69" ht="267.75" x14ac:dyDescent="0.65">
      <c r="A73" s="160">
        <v>70</v>
      </c>
      <c r="B73" s="160" t="s">
        <v>899</v>
      </c>
      <c r="C73" s="19" t="s">
        <v>951</v>
      </c>
      <c r="D73" s="28" t="s">
        <v>1191</v>
      </c>
      <c r="E73" s="207" t="s">
        <v>1091</v>
      </c>
      <c r="F73" s="194"/>
      <c r="G73" s="194" t="s">
        <v>117</v>
      </c>
      <c r="H73" s="194" t="s">
        <v>117</v>
      </c>
      <c r="I73" s="194" t="s">
        <v>1080</v>
      </c>
      <c r="J73" s="194" t="s">
        <v>1080</v>
      </c>
      <c r="K73" s="194" t="s">
        <v>1080</v>
      </c>
      <c r="L73" s="194" t="s">
        <v>1080</v>
      </c>
      <c r="M73" s="194" t="s">
        <v>1081</v>
      </c>
      <c r="N73" s="194">
        <f>COUNTIF(tblRisk[[#This Row],[Defends Against Malware]:[Defends Against Targeted Intrusions]],"Yes")</f>
        <v>1</v>
      </c>
      <c r="O73" s="160" t="s">
        <v>21</v>
      </c>
      <c r="P73" s="160" t="s">
        <v>88</v>
      </c>
      <c r="Q73" s="160" t="s">
        <v>30</v>
      </c>
      <c r="R73" s="160" t="s">
        <v>1085</v>
      </c>
      <c r="S73" s="160" t="s">
        <v>1426</v>
      </c>
      <c r="T73" s="160" t="s">
        <v>1425</v>
      </c>
      <c r="U73" s="19" t="s">
        <v>1906</v>
      </c>
      <c r="V73" s="19" t="s">
        <v>1654</v>
      </c>
      <c r="W73" s="160" t="s">
        <v>1709</v>
      </c>
      <c r="X73" s="160" t="s">
        <v>1787</v>
      </c>
      <c r="Y73" s="151">
        <f>IF(ISBLANK(tblRisk[[#This Row],[Threat Cluster]]),"",_xlfn.XLOOKUP(tblRisk[[#This Row],[Threat Cluster]],tblHIT[Threat Cluster],tblHIT[Quintile]))</f>
        <v>2</v>
      </c>
      <c r="Z73" s="152">
        <v>4</v>
      </c>
      <c r="AA73" s="153" t="str">
        <f>IF(OR(ISBLANK(tblRisk[[#This Row],[HIT Quintile]]),ISBLANK(tblRisk[[#This Row],[Control Maturity]])),"",_xlfn.XLOOKUP(tblRisk[[#This Row],[Control Maturity]] &amp; tblRisk[[#This Row],[HIT Quintile]],tblHITWDI[Lookup],tblHITWDI[Likelihood Description]))</f>
        <v>Foreseeable, not expected</v>
      </c>
      <c r="AB73" s="161">
        <f>IF(ISERROR(tblRisk[[#This Row],[Likelihood of Control Failure]]),"",VLOOKUP(tblRisk[[#This Row],[Likelihood of Control Failure]],tblLikelihood[],2,FALSE))</f>
        <v>2</v>
      </c>
      <c r="AC73" s="154">
        <v>2</v>
      </c>
      <c r="AD73" s="155">
        <v>2</v>
      </c>
      <c r="AE73" s="155">
        <v>2</v>
      </c>
      <c r="AF73" s="162">
        <f>IF(ISBLANK(tblRisk[[#This Row],[Impact to Mission]]),"",MAX(tblRisk[[#This Row],[Impact to Mission]:[Impact to Obligations]]))</f>
        <v>2</v>
      </c>
      <c r="AG73" s="163">
        <f>IF(ISERROR(tblRisk[[#This Row],[Impact Score]]*tblRisk[[#This Row],[Likelihood Score]]),"",tblRisk[[#This Row],[Likelihood Score]]*tblRisk[[#This Row],[Impact Score]])</f>
        <v>4</v>
      </c>
      <c r="AH73" s="163">
        <f>tblRisk[[#This Row],[Risk Score]]</f>
        <v>4</v>
      </c>
      <c r="AI73" s="164">
        <f t="shared" si="2"/>
        <v>9</v>
      </c>
      <c r="AJ73" s="164">
        <f>IF(tblRisk[[#This Row],[Safeguard Status]]="In Place",tblRisk[[#This Row],[Control Maturity after SG]],tblRisk[[#This Row],[Control Maturity]])</f>
        <v>4</v>
      </c>
      <c r="AK73" s="173" t="str">
        <f>IF(tblRisk[[#This Row],[Safeguard Status]]="In Place",tblRisk[[#This Row],[Safeguard Threat Cluster]],tblRisk[[#This Row],[Threat Cluster]])</f>
        <v>Hacking System</v>
      </c>
      <c r="AL73" s="164">
        <f>IF(tblRisk[[#This Row],[Safeguard Status]]="In Place",tblRisk[[#This Row],[Risk Level With Safeguard in Place]],tblRisk[[#This Row],[Risk Level]])</f>
        <v>4</v>
      </c>
      <c r="AM73" s="165" t="s">
        <v>1887</v>
      </c>
      <c r="AN73" s="165" t="str">
        <f>IF(tblRisk[[#This Row],[Risk Treatment Option]]="Manage",_xlfn.IFNA(INDEX(tblRiskTreatmentPrograms[#Data],MATCH(tblRisk[[#This Row],[Common Security Program]]&amp;tblRisk[[#This Row],[Common Security Control]],tblRiskTreatmentPrograms[Lookup],0),MATCH($AN$3,tblRiskTreatmentPrograms[#Headers],0)),txtBadRTP),"")</f>
        <v/>
      </c>
      <c r="AO73" s="165" t="str">
        <f>IF(tblRisk[[#This Row],[Risk Treatment Program]]="","",INDEX(tblRiskTreatmentPrograms[#Data],MATCH(tblRisk[[#This Row],[Risk Treatment Program]],tblRiskTreatmentPrograms[Risk Treatment Program],0),MATCH($AO$3,tblRiskTreatmentPrograms[#Headers],0)))</f>
        <v/>
      </c>
      <c r="AP73" s="165"/>
      <c r="AQ7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3" s="19" t="str">
        <f>tblRisk[[#This Row],[Threat Cluster]]</f>
        <v>Hacking System</v>
      </c>
      <c r="AS73" s="156">
        <f>IF(ISBLANK(tblRisk[[#This Row],[Safeguard Threat Cluster]]),"",_xlfn.XLOOKUP(tblRisk[[#This Row],[Safeguard Threat Cluster]],tblHIT[Threat Cluster],tblHIT[Quintile]))</f>
        <v>2</v>
      </c>
      <c r="AT73" s="157">
        <f>_xlfn.SWITCH(tblRisk[[#This Row],[Risk Treatment Option]],"Manage",tblRisk[[#This Row],[Control Maturity]]+1,tblRisk[[#This Row],[Control Maturity]])</f>
        <v>4</v>
      </c>
      <c r="AU7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3" s="166">
        <f>IF(ISERROR(tblRisk[[#This Row],[Likelihood of Control Failure after SG]]),"",VLOOKUP(tblRisk[[#This Row],[Likelihood of Control Failure after SG]],tblLikelihood[#Data],2,FALSE))</f>
        <v>2</v>
      </c>
      <c r="AW73" s="159">
        <f>tblRisk[[#This Row],[Impact to Mission]]</f>
        <v>2</v>
      </c>
      <c r="AX73" s="159">
        <f>tblRisk[[#This Row],[Impact to Objectives]]</f>
        <v>2</v>
      </c>
      <c r="AY73" s="159">
        <f>tblRisk[[#This Row],[Impact to Obligations]]</f>
        <v>2</v>
      </c>
      <c r="AZ73" s="166">
        <f>IF(ISBLANK(tblRisk[[#This Row],[Impact to Mission With Safeguard in Place]]),"",MAX(tblRisk[[#This Row],[Impact to Mission With Safeguard in Place]:[Impact to Obligations With Safeguard in Place]]))</f>
        <v>2</v>
      </c>
      <c r="BA73" s="167">
        <f>IF(ISERROR(tblRisk[[#This Row],[Impact Score with Safeguard in Place]]*tblRisk[[#This Row],[Likelihood Score with Safeguard in Place]]),"",tblRisk[[#This Row],[Impact Score with Safeguard in Place]]*tblRisk[[#This Row],[Likelihood Score with Safeguard in Place]])</f>
        <v>4</v>
      </c>
      <c r="BB73" s="164">
        <f>tblRisk[[#This Row],[Risk Score With Safeguard in Place]]</f>
        <v>4</v>
      </c>
      <c r="BC73" s="168" t="str">
        <f>IF(tblRisk[[#This Row],[Risk Treatment Option]]&lt;&gt;"Accept",IF(_xlfn.XLOOKUP(tblRisk[[#This Row],[Specific Safeguard Recommendation]],ProTrak[Task],ProTrak[Status],"Not Found")="Completed","Pending Validation","Pending"),"")</f>
        <v/>
      </c>
      <c r="BD73" s="169" t="str">
        <f>_xlfn.XLOOKUP(tblRisk[[#This Row],[Risk Treatment Program]],tblRiskTreatmentPrograms[Risk Treatment Program],tblRiskTreatmentPrograms[Estimated End Date (MM/DD/YYYY)],"")</f>
        <v/>
      </c>
      <c r="BE73" s="170"/>
      <c r="BF73" s="171" t="str">
        <f>_xlfn.IFNA(IF(tblRisk[[#This Row],[Due Date]]&lt;=vWhatIfQuarter,"Closed",""),"")</f>
        <v/>
      </c>
      <c r="BG73" s="171">
        <f>IF(tblRisk[[#This Row],[Scenario Builder Status]]="Closed",tblRisk[[#This Row],[Risk Score With Safeguard in Place]],tblRisk[[#This Row],[Risk Score]])</f>
        <v>4</v>
      </c>
      <c r="BH73" s="192" t="str">
        <f>tblRisk[[#This Row],[Common Security Program]]&amp;tblRisk[[#This Row],[Common Security Control]]&amp;tblRisk[[#This Row],[Asset Designation ]]</f>
        <v>Monitoring &amp; LoggingOperationNetwork</v>
      </c>
      <c r="BI73" s="191"/>
      <c r="BJ73" s="191"/>
      <c r="BK73" s="191"/>
      <c r="BL73" s="191" t="s">
        <v>117</v>
      </c>
      <c r="BM73" s="191"/>
      <c r="BN73" s="191"/>
      <c r="BO73" s="191"/>
      <c r="BP73" s="191"/>
      <c r="BQ73" s="191"/>
    </row>
    <row r="74" spans="1:69" ht="267.75" x14ac:dyDescent="0.65">
      <c r="A74" s="160">
        <v>71</v>
      </c>
      <c r="B74" s="160" t="s">
        <v>899</v>
      </c>
      <c r="C74" s="19" t="s">
        <v>952</v>
      </c>
      <c r="D74" s="28" t="s">
        <v>1192</v>
      </c>
      <c r="E74" s="207" t="s">
        <v>1091</v>
      </c>
      <c r="F74" s="194"/>
      <c r="G74" s="194"/>
      <c r="H74" s="194" t="s">
        <v>117</v>
      </c>
      <c r="I74" s="194" t="s">
        <v>1080</v>
      </c>
      <c r="J74" s="194" t="s">
        <v>1080</v>
      </c>
      <c r="K74" s="194" t="s">
        <v>1080</v>
      </c>
      <c r="L74" s="194" t="s">
        <v>1080</v>
      </c>
      <c r="M74" s="194" t="s">
        <v>1081</v>
      </c>
      <c r="N74" s="194">
        <f>COUNTIF(tblRisk[[#This Row],[Defends Against Malware]:[Defends Against Targeted Intrusions]],"Yes")</f>
        <v>1</v>
      </c>
      <c r="O74" s="160" t="s">
        <v>21</v>
      </c>
      <c r="P74" s="160" t="s">
        <v>88</v>
      </c>
      <c r="Q74" s="160" t="s">
        <v>33</v>
      </c>
      <c r="R74" s="160" t="s">
        <v>1084</v>
      </c>
      <c r="S74" s="160" t="s">
        <v>1426</v>
      </c>
      <c r="T74" s="160" t="s">
        <v>1425</v>
      </c>
      <c r="U74" s="19" t="s">
        <v>1906</v>
      </c>
      <c r="V74" s="19" t="s">
        <v>1655</v>
      </c>
      <c r="W74" s="160" t="s">
        <v>1788</v>
      </c>
      <c r="X74" s="160" t="s">
        <v>1789</v>
      </c>
      <c r="Y74" s="151">
        <f>IF(ISBLANK(tblRisk[[#This Row],[Threat Cluster]]),"",_xlfn.XLOOKUP(tblRisk[[#This Row],[Threat Cluster]],tblHIT[Threat Cluster],tblHIT[Quintile]))</f>
        <v>2</v>
      </c>
      <c r="Z74" s="152">
        <v>2</v>
      </c>
      <c r="AA74" s="153" t="str">
        <f>IF(OR(ISBLANK(tblRisk[[#This Row],[HIT Quintile]]),ISBLANK(tblRisk[[#This Row],[Control Maturity]])),"",_xlfn.XLOOKUP(tblRisk[[#This Row],[Control Maturity]] &amp; tblRisk[[#This Row],[HIT Quintile]],tblHITWDI[Lookup],tblHITWDI[Likelihood Description]))</f>
        <v>Common</v>
      </c>
      <c r="AB74" s="161">
        <f>IF(ISERROR(tblRisk[[#This Row],[Likelihood of Control Failure]]),"",VLOOKUP(tblRisk[[#This Row],[Likelihood of Control Failure]],tblLikelihood[],2,FALSE))</f>
        <v>4</v>
      </c>
      <c r="AC74" s="154">
        <v>2</v>
      </c>
      <c r="AD74" s="155">
        <v>2</v>
      </c>
      <c r="AE74" s="155">
        <v>2</v>
      </c>
      <c r="AF74" s="162">
        <f>IF(ISBLANK(tblRisk[[#This Row],[Impact to Mission]]),"",MAX(tblRisk[[#This Row],[Impact to Mission]:[Impact to Obligations]]))</f>
        <v>2</v>
      </c>
      <c r="AG74" s="163">
        <f>IF(ISERROR(tblRisk[[#This Row],[Impact Score]]*tblRisk[[#This Row],[Likelihood Score]]),"",tblRisk[[#This Row],[Likelihood Score]]*tblRisk[[#This Row],[Impact Score]])</f>
        <v>8</v>
      </c>
      <c r="AH74" s="163">
        <f>tblRisk[[#This Row],[Risk Score]]</f>
        <v>8</v>
      </c>
      <c r="AI74" s="164">
        <f t="shared" si="2"/>
        <v>9</v>
      </c>
      <c r="AJ74" s="164">
        <f>IF(tblRisk[[#This Row],[Safeguard Status]]="In Place",tblRisk[[#This Row],[Control Maturity after SG]],tblRisk[[#This Row],[Control Maturity]])</f>
        <v>2</v>
      </c>
      <c r="AK74" s="173" t="str">
        <f>IF(tblRisk[[#This Row],[Safeguard Status]]="In Place",tblRisk[[#This Row],[Safeguard Threat Cluster]],tblRisk[[#This Row],[Threat Cluster]])</f>
        <v>Personnel Error</v>
      </c>
      <c r="AL74" s="164">
        <f>IF(tblRisk[[#This Row],[Safeguard Status]]="In Place",tblRisk[[#This Row],[Risk Level With Safeguard in Place]],tblRisk[[#This Row],[Risk Level]])</f>
        <v>8</v>
      </c>
      <c r="AM74" s="165" t="s">
        <v>1887</v>
      </c>
      <c r="AN74" s="165" t="str">
        <f>IF(tblRisk[[#This Row],[Risk Treatment Option]]="Manage",_xlfn.IFNA(INDEX(tblRiskTreatmentPrograms[#Data],MATCH(tblRisk[[#This Row],[Common Security Program]]&amp;tblRisk[[#This Row],[Common Security Control]],tblRiskTreatmentPrograms[Lookup],0),MATCH($AN$3,tblRiskTreatmentPrograms[#Headers],0)),txtBadRTP),"")</f>
        <v/>
      </c>
      <c r="AO74" s="165" t="str">
        <f>IF(tblRisk[[#This Row],[Risk Treatment Program]]="","",INDEX(tblRiskTreatmentPrograms[#Data],MATCH(tblRisk[[#This Row],[Risk Treatment Program]],tblRiskTreatmentPrograms[Risk Treatment Program],0),MATCH($AO$3,tblRiskTreatmentPrograms[#Headers],0)))</f>
        <v/>
      </c>
      <c r="AP74" s="165"/>
      <c r="AQ7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4" s="19" t="str">
        <f>tblRisk[[#This Row],[Threat Cluster]]</f>
        <v>Personnel Error</v>
      </c>
      <c r="AS74" s="156">
        <f>IF(ISBLANK(tblRisk[[#This Row],[Safeguard Threat Cluster]]),"",_xlfn.XLOOKUP(tblRisk[[#This Row],[Safeguard Threat Cluster]],tblHIT[Threat Cluster],tblHIT[Quintile]))</f>
        <v>2</v>
      </c>
      <c r="AT74" s="157">
        <f>_xlfn.SWITCH(tblRisk[[#This Row],[Risk Treatment Option]],"Manage",tblRisk[[#This Row],[Control Maturity]]+1,tblRisk[[#This Row],[Control Maturity]])</f>
        <v>2</v>
      </c>
      <c r="AU74" s="158" t="str">
        <f>IF(OR(ISBLANK(tblRisk[[#This Row],[Safeguard HIT Quintile]]),ISBLANK(tblRisk[[#This Row],[Control Maturity after SG]])),"",_xlfn.XLOOKUP(tblRisk[[#This Row],[Control Maturity after SG]] &amp;tblRisk[[#This Row],[Safeguard HIT Quintile]],tblHITWDI[Lookup],tblHITWDI[Likelihood Description]))</f>
        <v>Common</v>
      </c>
      <c r="AV74" s="166">
        <f>IF(ISERROR(tblRisk[[#This Row],[Likelihood of Control Failure after SG]]),"",VLOOKUP(tblRisk[[#This Row],[Likelihood of Control Failure after SG]],tblLikelihood[#Data],2,FALSE))</f>
        <v>4</v>
      </c>
      <c r="AW74" s="159">
        <f>tblRisk[[#This Row],[Impact to Mission]]</f>
        <v>2</v>
      </c>
      <c r="AX74" s="159">
        <f>tblRisk[[#This Row],[Impact to Objectives]]</f>
        <v>2</v>
      </c>
      <c r="AY74" s="159">
        <f>tblRisk[[#This Row],[Impact to Obligations]]</f>
        <v>2</v>
      </c>
      <c r="AZ74" s="166">
        <f>IF(ISBLANK(tblRisk[[#This Row],[Impact to Mission With Safeguard in Place]]),"",MAX(tblRisk[[#This Row],[Impact to Mission With Safeguard in Place]:[Impact to Obligations With Safeguard in Place]]))</f>
        <v>2</v>
      </c>
      <c r="BA74" s="167">
        <f>IF(ISERROR(tblRisk[[#This Row],[Impact Score with Safeguard in Place]]*tblRisk[[#This Row],[Likelihood Score with Safeguard in Place]]),"",tblRisk[[#This Row],[Impact Score with Safeguard in Place]]*tblRisk[[#This Row],[Likelihood Score with Safeguard in Place]])</f>
        <v>8</v>
      </c>
      <c r="BB74" s="164">
        <f>tblRisk[[#This Row],[Risk Score With Safeguard in Place]]</f>
        <v>8</v>
      </c>
      <c r="BC74" s="168" t="str">
        <f>IF(tblRisk[[#This Row],[Risk Treatment Option]]&lt;&gt;"Accept",IF(_xlfn.XLOOKUP(tblRisk[[#This Row],[Specific Safeguard Recommendation]],ProTrak[Task],ProTrak[Status],"Not Found")="Completed","Pending Validation","Pending"),"")</f>
        <v/>
      </c>
      <c r="BD74" s="169" t="str">
        <f>_xlfn.XLOOKUP(tblRisk[[#This Row],[Risk Treatment Program]],tblRiskTreatmentPrograms[Risk Treatment Program],tblRiskTreatmentPrograms[Estimated End Date (MM/DD/YYYY)],"")</f>
        <v/>
      </c>
      <c r="BE74" s="170"/>
      <c r="BF74" s="171" t="str">
        <f>_xlfn.IFNA(IF(tblRisk[[#This Row],[Due Date]]&lt;=vWhatIfQuarter,"Closed",""),"")</f>
        <v/>
      </c>
      <c r="BG74" s="171">
        <f>IF(tblRisk[[#This Row],[Scenario Builder Status]]="Closed",tblRisk[[#This Row],[Risk Score With Safeguard in Place]],tblRisk[[#This Row],[Risk Score]])</f>
        <v>8</v>
      </c>
      <c r="BH74" s="192" t="str">
        <f>tblRisk[[#This Row],[Common Security Program]]&amp;tblRisk[[#This Row],[Common Security Control]]&amp;tblRisk[[#This Row],[Asset Designation ]]</f>
        <v>Monitoring &amp; LoggingOperationData</v>
      </c>
      <c r="BI74" s="191"/>
      <c r="BJ74" s="191"/>
      <c r="BK74" s="191"/>
      <c r="BL74" s="191" t="s">
        <v>117</v>
      </c>
      <c r="BM74" s="191"/>
      <c r="BN74" s="191"/>
      <c r="BO74" s="191"/>
      <c r="BP74" s="191"/>
      <c r="BQ74" s="191"/>
    </row>
    <row r="75" spans="1:69" ht="126" x14ac:dyDescent="0.65">
      <c r="A75" s="160">
        <v>72</v>
      </c>
      <c r="B75" s="160" t="s">
        <v>899</v>
      </c>
      <c r="C75" s="19" t="s">
        <v>953</v>
      </c>
      <c r="D75" s="28" t="s">
        <v>1193</v>
      </c>
      <c r="E75" s="207" t="s">
        <v>1092</v>
      </c>
      <c r="F75" s="194" t="s">
        <v>117</v>
      </c>
      <c r="G75" s="194" t="s">
        <v>117</v>
      </c>
      <c r="H75" s="194" t="s">
        <v>117</v>
      </c>
      <c r="I75" s="194" t="s">
        <v>1081</v>
      </c>
      <c r="J75" s="194" t="s">
        <v>1081</v>
      </c>
      <c r="K75" s="194" t="s">
        <v>1081</v>
      </c>
      <c r="L75" s="194" t="s">
        <v>1080</v>
      </c>
      <c r="M75" s="194" t="s">
        <v>1080</v>
      </c>
      <c r="N75" s="194">
        <f>COUNTIF(tblRisk[[#This Row],[Defends Against Malware]:[Defends Against Targeted Intrusions]],"Yes")</f>
        <v>3</v>
      </c>
      <c r="O75" s="160" t="s">
        <v>655</v>
      </c>
      <c r="P75" s="160" t="s">
        <v>88</v>
      </c>
      <c r="Q75" s="160" t="s">
        <v>611</v>
      </c>
      <c r="R75" s="160" t="s">
        <v>1083</v>
      </c>
      <c r="S75" s="160" t="s">
        <v>1447</v>
      </c>
      <c r="T75" s="160" t="s">
        <v>1445</v>
      </c>
      <c r="U75" s="160" t="s">
        <v>1446</v>
      </c>
      <c r="V75" s="160" t="s">
        <v>1596</v>
      </c>
      <c r="W75" s="160" t="s">
        <v>1790</v>
      </c>
      <c r="X75" s="160" t="s">
        <v>1791</v>
      </c>
      <c r="Y75" s="151">
        <f>IF(ISBLANK(tblRisk[[#This Row],[Threat Cluster]]),"",_xlfn.XLOOKUP(tblRisk[[#This Row],[Threat Cluster]],tblHIT[Threat Cluster],tblHIT[Quintile]))</f>
        <v>3</v>
      </c>
      <c r="Z75" s="152">
        <v>2</v>
      </c>
      <c r="AA75" s="153" t="str">
        <f>IF(OR(ISBLANK(tblRisk[[#This Row],[HIT Quintile]]),ISBLANK(tblRisk[[#This Row],[Control Maturity]])),"",_xlfn.XLOOKUP(tblRisk[[#This Row],[Control Maturity]] &amp; tblRisk[[#This Row],[HIT Quintile]],tblHITWDI[Lookup],tblHITWDI[Likelihood Description]))</f>
        <v>Common</v>
      </c>
      <c r="AB75" s="161">
        <f>IF(ISERROR(tblRisk[[#This Row],[Likelihood of Control Failure]]),"",VLOOKUP(tblRisk[[#This Row],[Likelihood of Control Failure]],tblLikelihood[],2,FALSE))</f>
        <v>4</v>
      </c>
      <c r="AC75" s="154">
        <v>2</v>
      </c>
      <c r="AD75" s="155">
        <v>2</v>
      </c>
      <c r="AE75" s="155">
        <v>3</v>
      </c>
      <c r="AF75" s="162">
        <f>IF(ISBLANK(tblRisk[[#This Row],[Impact to Mission]]),"",MAX(tblRisk[[#This Row],[Impact to Mission]:[Impact to Obligations]]))</f>
        <v>3</v>
      </c>
      <c r="AG75" s="163">
        <f>IF(ISERROR(tblRisk[[#This Row],[Impact Score]]*tblRisk[[#This Row],[Likelihood Score]]),"",tblRisk[[#This Row],[Likelihood Score]]*tblRisk[[#This Row],[Impact Score]])</f>
        <v>12</v>
      </c>
      <c r="AH75" s="163">
        <f>tblRisk[[#This Row],[Risk Score]]</f>
        <v>12</v>
      </c>
      <c r="AI75" s="164">
        <f t="shared" si="2"/>
        <v>9</v>
      </c>
      <c r="AJ75" s="164">
        <f>IF(tblRisk[[#This Row],[Safeguard Status]]="In Place",tblRisk[[#This Row],[Control Maturity after SG]],tblRisk[[#This Row],[Control Maturity]])</f>
        <v>2</v>
      </c>
      <c r="AK75" s="173" t="str">
        <f>IF(tblRisk[[#This Row],[Safeguard Status]]="In Place",tblRisk[[#This Row],[Safeguard Threat Cluster]],tblRisk[[#This Row],[Threat Cluster]])</f>
        <v>Physical Facility</v>
      </c>
      <c r="AL75" s="164">
        <f>IF(tblRisk[[#This Row],[Safeguard Status]]="In Place",tblRisk[[#This Row],[Risk Level With Safeguard in Place]],tblRisk[[#This Row],[Risk Level]])</f>
        <v>12</v>
      </c>
      <c r="AM75" s="165" t="s">
        <v>1564</v>
      </c>
      <c r="AN75"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Application Management</v>
      </c>
      <c r="AO75"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Application Management including:
 * ensure secure configuration of systems based on internal and vendor guidance;
 * reporting of Application Management performance metrics
</v>
      </c>
      <c r="AP75" s="165" t="s">
        <v>1894</v>
      </c>
      <c r="AQ7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75" s="19" t="str">
        <f>tblRisk[[#This Row],[Threat Cluster]]</f>
        <v>Physical Facility</v>
      </c>
      <c r="AS75" s="156">
        <f>IF(ISBLANK(tblRisk[[#This Row],[Safeguard Threat Cluster]]),"",_xlfn.XLOOKUP(tblRisk[[#This Row],[Safeguard Threat Cluster]],tblHIT[Threat Cluster],tblHIT[Quintile]))</f>
        <v>3</v>
      </c>
      <c r="AT75" s="157">
        <v>4</v>
      </c>
      <c r="AU7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5" s="166">
        <f>IF(ISERROR(tblRisk[[#This Row],[Likelihood of Control Failure after SG]]),"",VLOOKUP(tblRisk[[#This Row],[Likelihood of Control Failure after SG]],tblLikelihood[#Data],2,FALSE))</f>
        <v>2</v>
      </c>
      <c r="AW75" s="159">
        <f>tblRisk[[#This Row],[Impact to Mission]]</f>
        <v>2</v>
      </c>
      <c r="AX75" s="159">
        <f>tblRisk[[#This Row],[Impact to Objectives]]</f>
        <v>2</v>
      </c>
      <c r="AY75" s="159">
        <f>tblRisk[[#This Row],[Impact to Obligations]]</f>
        <v>3</v>
      </c>
      <c r="AZ75" s="166">
        <f>IF(ISBLANK(tblRisk[[#This Row],[Impact to Mission With Safeguard in Place]]),"",MAX(tblRisk[[#This Row],[Impact to Mission With Safeguard in Place]:[Impact to Obligations With Safeguard in Place]]))</f>
        <v>3</v>
      </c>
      <c r="BA75" s="167">
        <f>IF(ISERROR(tblRisk[[#This Row],[Impact Score with Safeguard in Place]]*tblRisk[[#This Row],[Likelihood Score with Safeguard in Place]]),"",tblRisk[[#This Row],[Impact Score with Safeguard in Place]]*tblRisk[[#This Row],[Likelihood Score with Safeguard in Place]])</f>
        <v>6</v>
      </c>
      <c r="BB75" s="164">
        <f>tblRisk[[#This Row],[Risk Score With Safeguard in Place]]</f>
        <v>6</v>
      </c>
      <c r="BC75" s="168" t="str">
        <f>IF(tblRisk[[#This Row],[Risk Treatment Option]]&lt;&gt;"Accept",IF(_xlfn.XLOOKUP(tblRisk[[#This Row],[Specific Safeguard Recommendation]],ProTrak[Task],ProTrak[Status],"Not Found")="Completed","Pending Validation","Pending"),"")</f>
        <v>Pending</v>
      </c>
      <c r="BD75" s="169" t="str">
        <f>_xlfn.XLOOKUP(tblRisk[[#This Row],[Risk Treatment Program]],tblRiskTreatmentPrograms[Risk Treatment Program],tblRiskTreatmentPrograms[Estimated End Date (MM/DD/YYYY)],"")</f>
        <v>TBD</v>
      </c>
      <c r="BE75" s="170"/>
      <c r="BF75" s="171" t="str">
        <f>_xlfn.IFNA(IF(tblRisk[[#This Row],[Due Date]]&lt;=vWhatIfQuarter,"Closed",""),"")</f>
        <v/>
      </c>
      <c r="BG75" s="171">
        <f>IF(tblRisk[[#This Row],[Scenario Builder Status]]="Closed",tblRisk[[#This Row],[Risk Score With Safeguard in Place]],tblRisk[[#This Row],[Risk Score]])</f>
        <v>12</v>
      </c>
      <c r="BH75" s="192" t="str">
        <f>tblRisk[[#This Row],[Common Security Program]]&amp;tblRisk[[#This Row],[Common Security Control]]&amp;tblRisk[[#This Row],[Asset Designation ]]</f>
        <v>Application ManagementOperationApplications</v>
      </c>
      <c r="BI75" s="191" t="s">
        <v>117</v>
      </c>
      <c r="BJ75" s="191"/>
      <c r="BK75" s="191"/>
      <c r="BL75" s="191"/>
      <c r="BM75" s="191"/>
      <c r="BN75" s="191"/>
      <c r="BO75" s="191"/>
      <c r="BP75" s="191"/>
      <c r="BQ75" s="191"/>
    </row>
    <row r="76" spans="1:69" ht="94.5" x14ac:dyDescent="0.65">
      <c r="A76" s="160">
        <v>73</v>
      </c>
      <c r="B76" s="160" t="s">
        <v>899</v>
      </c>
      <c r="C76" s="19" t="s">
        <v>954</v>
      </c>
      <c r="D76" s="28" t="s">
        <v>1194</v>
      </c>
      <c r="E76" s="207" t="s">
        <v>1092</v>
      </c>
      <c r="F76" s="194" t="s">
        <v>117</v>
      </c>
      <c r="G76" s="194" t="s">
        <v>117</v>
      </c>
      <c r="H76" s="194" t="s">
        <v>117</v>
      </c>
      <c r="I76" s="194" t="s">
        <v>1081</v>
      </c>
      <c r="J76" s="194" t="s">
        <v>1081</v>
      </c>
      <c r="K76" s="194" t="s">
        <v>1080</v>
      </c>
      <c r="L76" s="194" t="s">
        <v>1080</v>
      </c>
      <c r="M76" s="194" t="s">
        <v>1081</v>
      </c>
      <c r="N76" s="194">
        <f>COUNTIF(tblRisk[[#This Row],[Defends Against Malware]:[Defends Against Targeted Intrusions]],"Yes")</f>
        <v>3</v>
      </c>
      <c r="O76" s="160" t="s">
        <v>654</v>
      </c>
      <c r="P76" s="160" t="s">
        <v>88</v>
      </c>
      <c r="Q76" s="160" t="s">
        <v>611</v>
      </c>
      <c r="R76" s="160" t="s">
        <v>1085</v>
      </c>
      <c r="S76" s="160" t="s">
        <v>1087</v>
      </c>
      <c r="T76" s="160" t="s">
        <v>1439</v>
      </c>
      <c r="U76" s="160" t="s">
        <v>1440</v>
      </c>
      <c r="V76" s="160" t="s">
        <v>1597</v>
      </c>
      <c r="W76" s="160" t="s">
        <v>1709</v>
      </c>
      <c r="X76" s="160" t="s">
        <v>1792</v>
      </c>
      <c r="Y76" s="151">
        <f>IF(ISBLANK(tblRisk[[#This Row],[Threat Cluster]]),"",_xlfn.XLOOKUP(tblRisk[[#This Row],[Threat Cluster]],tblHIT[Threat Cluster],tblHIT[Quintile]))</f>
        <v>3</v>
      </c>
      <c r="Z76" s="152">
        <v>4</v>
      </c>
      <c r="AA76" s="153" t="str">
        <f>IF(OR(ISBLANK(tblRisk[[#This Row],[HIT Quintile]]),ISBLANK(tblRisk[[#This Row],[Control Maturity]])),"",_xlfn.XLOOKUP(tblRisk[[#This Row],[Control Maturity]] &amp; tblRisk[[#This Row],[HIT Quintile]],tblHITWDI[Lookup],tblHITWDI[Likelihood Description]))</f>
        <v>Foreseeable, not expected</v>
      </c>
      <c r="AB76" s="161">
        <f>IF(ISERROR(tblRisk[[#This Row],[Likelihood of Control Failure]]),"",VLOOKUP(tblRisk[[#This Row],[Likelihood of Control Failure]],tblLikelihood[],2,FALSE))</f>
        <v>2</v>
      </c>
      <c r="AC76" s="154">
        <v>2</v>
      </c>
      <c r="AD76" s="155">
        <v>2</v>
      </c>
      <c r="AE76" s="155">
        <v>3</v>
      </c>
      <c r="AF76" s="162">
        <f>IF(ISBLANK(tblRisk[[#This Row],[Impact to Mission]]),"",MAX(tblRisk[[#This Row],[Impact to Mission]:[Impact to Obligations]]))</f>
        <v>3</v>
      </c>
      <c r="AG76" s="163">
        <f>IF(ISERROR(tblRisk[[#This Row],[Impact Score]]*tblRisk[[#This Row],[Likelihood Score]]),"",tblRisk[[#This Row],[Likelihood Score]]*tblRisk[[#This Row],[Impact Score]])</f>
        <v>6</v>
      </c>
      <c r="AH76" s="163">
        <f>tblRisk[[#This Row],[Risk Score]]</f>
        <v>6</v>
      </c>
      <c r="AI76" s="164">
        <f t="shared" si="2"/>
        <v>9</v>
      </c>
      <c r="AJ76" s="164">
        <f>IF(tblRisk[[#This Row],[Safeguard Status]]="In Place",tblRisk[[#This Row],[Control Maturity after SG]],tblRisk[[#This Row],[Control Maturity]])</f>
        <v>4</v>
      </c>
      <c r="AK76" s="173" t="str">
        <f>IF(tblRisk[[#This Row],[Safeguard Status]]="In Place",tblRisk[[#This Row],[Safeguard Threat Cluster]],tblRisk[[#This Row],[Threat Cluster]])</f>
        <v>Physical Facility</v>
      </c>
      <c r="AL76" s="164">
        <f>IF(tblRisk[[#This Row],[Safeguard Status]]="In Place",tblRisk[[#This Row],[Risk Level With Safeguard in Place]],tblRisk[[#This Row],[Risk Level]])</f>
        <v>6</v>
      </c>
      <c r="AM76" s="165" t="s">
        <v>1887</v>
      </c>
      <c r="AN76" s="165" t="str">
        <f>IF(tblRisk[[#This Row],[Risk Treatment Option]]="Manage",_xlfn.IFNA(INDEX(tblRiskTreatmentPrograms[#Data],MATCH(tblRisk[[#This Row],[Common Security Program]]&amp;tblRisk[[#This Row],[Common Security Control]],tblRiskTreatmentPrograms[Lookup],0),MATCH($AN$3,tblRiskTreatmentPrograms[#Headers],0)),txtBadRTP),"")</f>
        <v/>
      </c>
      <c r="AO76" s="165" t="str">
        <f>IF(tblRisk[[#This Row],[Risk Treatment Program]]="","",INDEX(tblRiskTreatmentPrograms[#Data],MATCH(tblRisk[[#This Row],[Risk Treatment Program]],tblRiskTreatmentPrograms[Risk Treatment Program],0),MATCH($AO$3,tblRiskTreatmentPrograms[#Headers],0)))</f>
        <v/>
      </c>
      <c r="AP76" s="165"/>
      <c r="AQ7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6" s="19" t="str">
        <f>tblRisk[[#This Row],[Threat Cluster]]</f>
        <v>Physical Facility</v>
      </c>
      <c r="AS76" s="156">
        <f>IF(ISBLANK(tblRisk[[#This Row],[Safeguard Threat Cluster]]),"",_xlfn.XLOOKUP(tblRisk[[#This Row],[Safeguard Threat Cluster]],tblHIT[Threat Cluster],tblHIT[Quintile]))</f>
        <v>3</v>
      </c>
      <c r="AT76" s="157">
        <f>_xlfn.SWITCH(tblRisk[[#This Row],[Risk Treatment Option]],"Manage",tblRisk[[#This Row],[Control Maturity]]+1,tblRisk[[#This Row],[Control Maturity]])</f>
        <v>4</v>
      </c>
      <c r="AU7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6" s="166">
        <f>IF(ISERROR(tblRisk[[#This Row],[Likelihood of Control Failure after SG]]),"",VLOOKUP(tblRisk[[#This Row],[Likelihood of Control Failure after SG]],tblLikelihood[#Data],2,FALSE))</f>
        <v>2</v>
      </c>
      <c r="AW76" s="159">
        <f>tblRisk[[#This Row],[Impact to Mission]]</f>
        <v>2</v>
      </c>
      <c r="AX76" s="159">
        <f>tblRisk[[#This Row],[Impact to Objectives]]</f>
        <v>2</v>
      </c>
      <c r="AY76" s="159">
        <f>tblRisk[[#This Row],[Impact to Obligations]]</f>
        <v>3</v>
      </c>
      <c r="AZ76" s="166">
        <f>IF(ISBLANK(tblRisk[[#This Row],[Impact to Mission With Safeguard in Place]]),"",MAX(tblRisk[[#This Row],[Impact to Mission With Safeguard in Place]:[Impact to Obligations With Safeguard in Place]]))</f>
        <v>3</v>
      </c>
      <c r="BA76" s="167">
        <f>IF(ISERROR(tblRisk[[#This Row],[Impact Score with Safeguard in Place]]*tblRisk[[#This Row],[Likelihood Score with Safeguard in Place]]),"",tblRisk[[#This Row],[Impact Score with Safeguard in Place]]*tblRisk[[#This Row],[Likelihood Score with Safeguard in Place]])</f>
        <v>6</v>
      </c>
      <c r="BB76" s="164">
        <f>tblRisk[[#This Row],[Risk Score With Safeguard in Place]]</f>
        <v>6</v>
      </c>
      <c r="BC76" s="168" t="str">
        <f>IF(tblRisk[[#This Row],[Risk Treatment Option]]&lt;&gt;"Accept",IF(_xlfn.XLOOKUP(tblRisk[[#This Row],[Specific Safeguard Recommendation]],ProTrak[Task],ProTrak[Status],"Not Found")="Completed","Pending Validation","Pending"),"")</f>
        <v/>
      </c>
      <c r="BD76" s="169" t="str">
        <f>_xlfn.XLOOKUP(tblRisk[[#This Row],[Risk Treatment Program]],tblRiskTreatmentPrograms[Risk Treatment Program],tblRiskTreatmentPrograms[Estimated End Date (MM/DD/YYYY)],"")</f>
        <v/>
      </c>
      <c r="BE76" s="170"/>
      <c r="BF76" s="171" t="str">
        <f>_xlfn.IFNA(IF(tblRisk[[#This Row],[Due Date]]&lt;=vWhatIfQuarter,"Closed",""),"")</f>
        <v/>
      </c>
      <c r="BG76" s="171">
        <f>IF(tblRisk[[#This Row],[Scenario Builder Status]]="Closed",tblRisk[[#This Row],[Risk Score With Safeguard in Place]],tblRisk[[#This Row],[Risk Score]])</f>
        <v>6</v>
      </c>
      <c r="BH76" s="192" t="str">
        <f>tblRisk[[#This Row],[Common Security Program]]&amp;tblRisk[[#This Row],[Common Security Control]]&amp;tblRisk[[#This Row],[Asset Designation ]]</f>
        <v>Network Device ManagementOperationNetwork</v>
      </c>
      <c r="BI76" s="191" t="s">
        <v>117</v>
      </c>
      <c r="BJ76" s="191"/>
      <c r="BK76" s="191"/>
      <c r="BL76" s="191"/>
      <c r="BM76" s="191"/>
      <c r="BN76" s="191"/>
      <c r="BO76" s="191"/>
      <c r="BP76" s="191"/>
      <c r="BQ76" s="191"/>
    </row>
    <row r="77" spans="1:69" ht="78.75" x14ac:dyDescent="0.65">
      <c r="A77" s="160">
        <v>74</v>
      </c>
      <c r="B77" s="160" t="s">
        <v>899</v>
      </c>
      <c r="C77" s="19" t="s">
        <v>955</v>
      </c>
      <c r="D77" s="28" t="s">
        <v>1195</v>
      </c>
      <c r="E77" s="207" t="s">
        <v>1092</v>
      </c>
      <c r="F77" s="194"/>
      <c r="G77" s="194" t="s">
        <v>117</v>
      </c>
      <c r="H77" s="194" t="s">
        <v>117</v>
      </c>
      <c r="I77" s="194" t="s">
        <v>1081</v>
      </c>
      <c r="J77" s="194" t="s">
        <v>1081</v>
      </c>
      <c r="K77" s="194" t="s">
        <v>1081</v>
      </c>
      <c r="L77" s="194" t="s">
        <v>1081</v>
      </c>
      <c r="M77" s="194" t="s">
        <v>1081</v>
      </c>
      <c r="N77" s="194">
        <f>COUNTIF(tblRisk[[#This Row],[Defends Against Malware]:[Defends Against Targeted Intrusions]],"Yes")</f>
        <v>5</v>
      </c>
      <c r="O77" s="160" t="s">
        <v>654</v>
      </c>
      <c r="P77" s="160" t="s">
        <v>88</v>
      </c>
      <c r="Q77" s="160" t="s">
        <v>30</v>
      </c>
      <c r="R77" s="160" t="s">
        <v>1085</v>
      </c>
      <c r="S77" s="160" t="s">
        <v>1087</v>
      </c>
      <c r="T77" s="160" t="s">
        <v>1439</v>
      </c>
      <c r="U77" s="160" t="s">
        <v>1440</v>
      </c>
      <c r="V77" s="160" t="s">
        <v>1598</v>
      </c>
      <c r="W77" s="160" t="s">
        <v>1709</v>
      </c>
      <c r="X77" s="160" t="s">
        <v>1793</v>
      </c>
      <c r="Y77" s="151">
        <f>IF(ISBLANK(tblRisk[[#This Row],[Threat Cluster]]),"",_xlfn.XLOOKUP(tblRisk[[#This Row],[Threat Cluster]],tblHIT[Threat Cluster],tblHIT[Quintile]))</f>
        <v>2</v>
      </c>
      <c r="Z77" s="152">
        <v>4</v>
      </c>
      <c r="AA77" s="153" t="str">
        <f>IF(OR(ISBLANK(tblRisk[[#This Row],[HIT Quintile]]),ISBLANK(tblRisk[[#This Row],[Control Maturity]])),"",_xlfn.XLOOKUP(tblRisk[[#This Row],[Control Maturity]] &amp; tblRisk[[#This Row],[HIT Quintile]],tblHITWDI[Lookup],tblHITWDI[Likelihood Description]))</f>
        <v>Foreseeable, not expected</v>
      </c>
      <c r="AB77" s="161">
        <f>IF(ISERROR(tblRisk[[#This Row],[Likelihood of Control Failure]]),"",VLOOKUP(tblRisk[[#This Row],[Likelihood of Control Failure]],tblLikelihood[],2,FALSE))</f>
        <v>2</v>
      </c>
      <c r="AC77" s="154">
        <v>2</v>
      </c>
      <c r="AD77" s="155">
        <v>2</v>
      </c>
      <c r="AE77" s="155">
        <v>3</v>
      </c>
      <c r="AF77" s="162">
        <f>IF(ISBLANK(tblRisk[[#This Row],[Impact to Mission]]),"",MAX(tblRisk[[#This Row],[Impact to Mission]:[Impact to Obligations]]))</f>
        <v>3</v>
      </c>
      <c r="AG77" s="163">
        <f>IF(ISERROR(tblRisk[[#This Row],[Impact Score]]*tblRisk[[#This Row],[Likelihood Score]]),"",tblRisk[[#This Row],[Likelihood Score]]*tblRisk[[#This Row],[Impact Score]])</f>
        <v>6</v>
      </c>
      <c r="AH77" s="163">
        <f>tblRisk[[#This Row],[Risk Score]]</f>
        <v>6</v>
      </c>
      <c r="AI77" s="164">
        <f t="shared" si="2"/>
        <v>9</v>
      </c>
      <c r="AJ77" s="164">
        <f>IF(tblRisk[[#This Row],[Safeguard Status]]="In Place",tblRisk[[#This Row],[Control Maturity after SG]],tblRisk[[#This Row],[Control Maturity]])</f>
        <v>4</v>
      </c>
      <c r="AK77" s="173" t="str">
        <f>IF(tblRisk[[#This Row],[Safeguard Status]]="In Place",tblRisk[[#This Row],[Safeguard Threat Cluster]],tblRisk[[#This Row],[Threat Cluster]])</f>
        <v>Hacking System</v>
      </c>
      <c r="AL77" s="164">
        <f>IF(tblRisk[[#This Row],[Safeguard Status]]="In Place",tblRisk[[#This Row],[Risk Level With Safeguard in Place]],tblRisk[[#This Row],[Risk Level]])</f>
        <v>6</v>
      </c>
      <c r="AM77" s="165" t="s">
        <v>1887</v>
      </c>
      <c r="AN77" s="165" t="str">
        <f>IF(tblRisk[[#This Row],[Risk Treatment Option]]="Manage",_xlfn.IFNA(INDEX(tblRiskTreatmentPrograms[#Data],MATCH(tblRisk[[#This Row],[Common Security Program]]&amp;tblRisk[[#This Row],[Common Security Control]],tblRiskTreatmentPrograms[Lookup],0),MATCH($AN$3,tblRiskTreatmentPrograms[#Headers],0)),txtBadRTP),"")</f>
        <v/>
      </c>
      <c r="AO77" s="165" t="str">
        <f>IF(tblRisk[[#This Row],[Risk Treatment Program]]="","",INDEX(tblRiskTreatmentPrograms[#Data],MATCH(tblRisk[[#This Row],[Risk Treatment Program]],tblRiskTreatmentPrograms[Risk Treatment Program],0),MATCH($AO$3,tblRiskTreatmentPrograms[#Headers],0)))</f>
        <v/>
      </c>
      <c r="AP77" s="165"/>
      <c r="AQ7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77" s="19" t="str">
        <f>tblRisk[[#This Row],[Threat Cluster]]</f>
        <v>Hacking System</v>
      </c>
      <c r="AS77" s="156">
        <f>IF(ISBLANK(tblRisk[[#This Row],[Safeguard Threat Cluster]]),"",_xlfn.XLOOKUP(tblRisk[[#This Row],[Safeguard Threat Cluster]],tblHIT[Threat Cluster],tblHIT[Quintile]))</f>
        <v>2</v>
      </c>
      <c r="AT77" s="157">
        <f>_xlfn.SWITCH(tblRisk[[#This Row],[Risk Treatment Option]],"Manage",tblRisk[[#This Row],[Control Maturity]]+1,tblRisk[[#This Row],[Control Maturity]])</f>
        <v>4</v>
      </c>
      <c r="AU7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7" s="166">
        <f>IF(ISERROR(tblRisk[[#This Row],[Likelihood of Control Failure after SG]]),"",VLOOKUP(tblRisk[[#This Row],[Likelihood of Control Failure after SG]],tblLikelihood[#Data],2,FALSE))</f>
        <v>2</v>
      </c>
      <c r="AW77" s="159">
        <f>tblRisk[[#This Row],[Impact to Mission]]</f>
        <v>2</v>
      </c>
      <c r="AX77" s="159">
        <f>tblRisk[[#This Row],[Impact to Objectives]]</f>
        <v>2</v>
      </c>
      <c r="AY77" s="159">
        <f>tblRisk[[#This Row],[Impact to Obligations]]</f>
        <v>3</v>
      </c>
      <c r="AZ77" s="166">
        <f>IF(ISBLANK(tblRisk[[#This Row],[Impact to Mission With Safeguard in Place]]),"",MAX(tblRisk[[#This Row],[Impact to Mission With Safeguard in Place]:[Impact to Obligations With Safeguard in Place]]))</f>
        <v>3</v>
      </c>
      <c r="BA77" s="167">
        <f>IF(ISERROR(tblRisk[[#This Row],[Impact Score with Safeguard in Place]]*tblRisk[[#This Row],[Likelihood Score with Safeguard in Place]]),"",tblRisk[[#This Row],[Impact Score with Safeguard in Place]]*tblRisk[[#This Row],[Likelihood Score with Safeguard in Place]])</f>
        <v>6</v>
      </c>
      <c r="BB77" s="164">
        <f>tblRisk[[#This Row],[Risk Score With Safeguard in Place]]</f>
        <v>6</v>
      </c>
      <c r="BC77" s="168" t="str">
        <f>IF(tblRisk[[#This Row],[Risk Treatment Option]]&lt;&gt;"Accept",IF(_xlfn.XLOOKUP(tblRisk[[#This Row],[Specific Safeguard Recommendation]],ProTrak[Task],ProTrak[Status],"Not Found")="Completed","Pending Validation","Pending"),"")</f>
        <v/>
      </c>
      <c r="BD77" s="169" t="str">
        <f>_xlfn.XLOOKUP(tblRisk[[#This Row],[Risk Treatment Program]],tblRiskTreatmentPrograms[Risk Treatment Program],tblRiskTreatmentPrograms[Estimated End Date (MM/DD/YYYY)],"")</f>
        <v/>
      </c>
      <c r="BE77" s="170"/>
      <c r="BF77" s="171" t="str">
        <f>_xlfn.IFNA(IF(tblRisk[[#This Row],[Due Date]]&lt;=vWhatIfQuarter,"Closed",""),"")</f>
        <v/>
      </c>
      <c r="BG77" s="171">
        <f>IF(tblRisk[[#This Row],[Scenario Builder Status]]="Closed",tblRisk[[#This Row],[Risk Score With Safeguard in Place]],tblRisk[[#This Row],[Risk Score]])</f>
        <v>6</v>
      </c>
      <c r="BH77" s="192" t="str">
        <f>tblRisk[[#This Row],[Common Security Program]]&amp;tblRisk[[#This Row],[Common Security Control]]&amp;tblRisk[[#This Row],[Asset Designation ]]</f>
        <v>Network Device ManagementOperationNetwork</v>
      </c>
      <c r="BI77" s="191"/>
      <c r="BJ77" s="191"/>
      <c r="BK77" s="191" t="s">
        <v>117</v>
      </c>
      <c r="BL77" s="191"/>
      <c r="BM77" s="191"/>
      <c r="BN77" s="191"/>
      <c r="BO77" s="191"/>
      <c r="BP77" s="191" t="s">
        <v>117</v>
      </c>
      <c r="BQ77" s="191"/>
    </row>
    <row r="78" spans="1:69" ht="110.25" x14ac:dyDescent="0.65">
      <c r="A78" s="160">
        <v>75</v>
      </c>
      <c r="B78" s="160" t="s">
        <v>899</v>
      </c>
      <c r="C78" s="19" t="s">
        <v>956</v>
      </c>
      <c r="D78" s="28" t="s">
        <v>1196</v>
      </c>
      <c r="E78" s="207" t="s">
        <v>1092</v>
      </c>
      <c r="F78" s="194"/>
      <c r="G78" s="194" t="s">
        <v>117</v>
      </c>
      <c r="H78" s="194" t="s">
        <v>117</v>
      </c>
      <c r="I78" s="194" t="s">
        <v>1081</v>
      </c>
      <c r="J78" s="194" t="s">
        <v>1081</v>
      </c>
      <c r="K78" s="194" t="s">
        <v>1081</v>
      </c>
      <c r="L78" s="194" t="s">
        <v>1080</v>
      </c>
      <c r="M78" s="194" t="s">
        <v>1080</v>
      </c>
      <c r="N78" s="194">
        <f>COUNTIF(tblRisk[[#This Row],[Defends Against Malware]:[Defends Against Targeted Intrusions]],"Yes")</f>
        <v>3</v>
      </c>
      <c r="O78" s="160" t="s">
        <v>653</v>
      </c>
      <c r="P78" s="160" t="s">
        <v>88</v>
      </c>
      <c r="Q78" s="160" t="s">
        <v>30</v>
      </c>
      <c r="R78" s="160" t="s">
        <v>1083</v>
      </c>
      <c r="S78" s="160" t="s">
        <v>1436</v>
      </c>
      <c r="T78" s="160" t="s">
        <v>1434</v>
      </c>
      <c r="U78" s="160" t="s">
        <v>1435</v>
      </c>
      <c r="V78" s="160" t="s">
        <v>1599</v>
      </c>
      <c r="W78" s="160" t="s">
        <v>1794</v>
      </c>
      <c r="X78" s="160" t="s">
        <v>1795</v>
      </c>
      <c r="Y78" s="151">
        <f>IF(ISBLANK(tblRisk[[#This Row],[Threat Cluster]]),"",_xlfn.XLOOKUP(tblRisk[[#This Row],[Threat Cluster]],tblHIT[Threat Cluster],tblHIT[Quintile]))</f>
        <v>2</v>
      </c>
      <c r="Z78" s="152">
        <v>2</v>
      </c>
      <c r="AA78" s="153" t="str">
        <f>IF(OR(ISBLANK(tblRisk[[#This Row],[HIT Quintile]]),ISBLANK(tblRisk[[#This Row],[Control Maturity]])),"",_xlfn.XLOOKUP(tblRisk[[#This Row],[Control Maturity]] &amp; tblRisk[[#This Row],[HIT Quintile]],tblHITWDI[Lookup],tblHITWDI[Likelihood Description]))</f>
        <v>Common</v>
      </c>
      <c r="AB78" s="161">
        <f>IF(ISERROR(tblRisk[[#This Row],[Likelihood of Control Failure]]),"",VLOOKUP(tblRisk[[#This Row],[Likelihood of Control Failure]],tblLikelihood[],2,FALSE))</f>
        <v>4</v>
      </c>
      <c r="AC78" s="154">
        <v>2</v>
      </c>
      <c r="AD78" s="155">
        <v>2</v>
      </c>
      <c r="AE78" s="155">
        <v>3</v>
      </c>
      <c r="AF78" s="162">
        <f>IF(ISBLANK(tblRisk[[#This Row],[Impact to Mission]]),"",MAX(tblRisk[[#This Row],[Impact to Mission]:[Impact to Obligations]]))</f>
        <v>3</v>
      </c>
      <c r="AG78" s="163">
        <f>IF(ISERROR(tblRisk[[#This Row],[Impact Score]]*tblRisk[[#This Row],[Likelihood Score]]),"",tblRisk[[#This Row],[Likelihood Score]]*tblRisk[[#This Row],[Impact Score]])</f>
        <v>12</v>
      </c>
      <c r="AH78" s="163">
        <f>tblRisk[[#This Row],[Risk Score]]</f>
        <v>12</v>
      </c>
      <c r="AI78" s="164">
        <f t="shared" si="2"/>
        <v>9</v>
      </c>
      <c r="AJ78" s="164">
        <f>IF(tblRisk[[#This Row],[Safeguard Status]]="In Place",tblRisk[[#This Row],[Control Maturity after SG]],tblRisk[[#This Row],[Control Maturity]])</f>
        <v>2</v>
      </c>
      <c r="AK78" s="173" t="str">
        <f>IF(tblRisk[[#This Row],[Safeguard Status]]="In Place",tblRisk[[#This Row],[Safeguard Threat Cluster]],tblRisk[[#This Row],[Threat Cluster]])</f>
        <v>Hacking System</v>
      </c>
      <c r="AL78" s="164">
        <f>IF(tblRisk[[#This Row],[Safeguard Status]]="In Place",tblRisk[[#This Row],[Risk Level With Safeguard in Place]],tblRisk[[#This Row],[Risk Level]])</f>
        <v>12</v>
      </c>
      <c r="AM78" s="165" t="s">
        <v>1564</v>
      </c>
      <c r="AN78"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Systems Management</v>
      </c>
      <c r="AO78"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Systems Management including:
 * ensure hardening/protection of systems based on internal and vendor guidance;
 * reporting of Systems performance metrics
</v>
      </c>
      <c r="AP78" s="165" t="s">
        <v>1895</v>
      </c>
      <c r="AQ7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78" s="19" t="str">
        <f>tblRisk[[#This Row],[Threat Cluster]]</f>
        <v>Hacking System</v>
      </c>
      <c r="AS78" s="156">
        <f>IF(ISBLANK(tblRisk[[#This Row],[Safeguard Threat Cluster]]),"",_xlfn.XLOOKUP(tblRisk[[#This Row],[Safeguard Threat Cluster]],tblHIT[Threat Cluster],tblHIT[Quintile]))</f>
        <v>2</v>
      </c>
      <c r="AT78" s="157">
        <v>4</v>
      </c>
      <c r="AU7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8" s="166">
        <f>IF(ISERROR(tblRisk[[#This Row],[Likelihood of Control Failure after SG]]),"",VLOOKUP(tblRisk[[#This Row],[Likelihood of Control Failure after SG]],tblLikelihood[#Data],2,FALSE))</f>
        <v>2</v>
      </c>
      <c r="AW78" s="159">
        <f>tblRisk[[#This Row],[Impact to Mission]]</f>
        <v>2</v>
      </c>
      <c r="AX78" s="159">
        <f>tblRisk[[#This Row],[Impact to Objectives]]</f>
        <v>2</v>
      </c>
      <c r="AY78" s="159">
        <f>tblRisk[[#This Row],[Impact to Obligations]]</f>
        <v>3</v>
      </c>
      <c r="AZ78" s="166">
        <f>IF(ISBLANK(tblRisk[[#This Row],[Impact to Mission With Safeguard in Place]]),"",MAX(tblRisk[[#This Row],[Impact to Mission With Safeguard in Place]:[Impact to Obligations With Safeguard in Place]]))</f>
        <v>3</v>
      </c>
      <c r="BA78" s="167">
        <f>IF(ISERROR(tblRisk[[#This Row],[Impact Score with Safeguard in Place]]*tblRisk[[#This Row],[Likelihood Score with Safeguard in Place]]),"",tblRisk[[#This Row],[Impact Score with Safeguard in Place]]*tblRisk[[#This Row],[Likelihood Score with Safeguard in Place]])</f>
        <v>6</v>
      </c>
      <c r="BB78" s="164">
        <f>tblRisk[[#This Row],[Risk Score With Safeguard in Place]]</f>
        <v>6</v>
      </c>
      <c r="BC78" s="168" t="str">
        <f>IF(tblRisk[[#This Row],[Risk Treatment Option]]&lt;&gt;"Accept",IF(_xlfn.XLOOKUP(tblRisk[[#This Row],[Specific Safeguard Recommendation]],ProTrak[Task],ProTrak[Status],"Not Found")="Completed","Pending Validation","Pending"),"")</f>
        <v>Pending</v>
      </c>
      <c r="BD78" s="169" t="str">
        <f>_xlfn.XLOOKUP(tblRisk[[#This Row],[Risk Treatment Program]],tblRiskTreatmentPrograms[Risk Treatment Program],tblRiskTreatmentPrograms[Estimated End Date (MM/DD/YYYY)],"")</f>
        <v>TBD</v>
      </c>
      <c r="BE78" s="170"/>
      <c r="BF78" s="171" t="str">
        <f>_xlfn.IFNA(IF(tblRisk[[#This Row],[Due Date]]&lt;=vWhatIfQuarter,"Closed",""),"")</f>
        <v/>
      </c>
      <c r="BG78" s="171">
        <f>IF(tblRisk[[#This Row],[Scenario Builder Status]]="Closed",tblRisk[[#This Row],[Risk Score With Safeguard in Place]],tblRisk[[#This Row],[Risk Score]])</f>
        <v>12</v>
      </c>
      <c r="BH78" s="192" t="str">
        <f>tblRisk[[#This Row],[Common Security Program]]&amp;tblRisk[[#This Row],[Common Security Control]]&amp;tblRisk[[#This Row],[Asset Designation ]]</f>
        <v>System ManagementOperationApplications</v>
      </c>
      <c r="BI78" s="191" t="s">
        <v>117</v>
      </c>
      <c r="BJ78" s="191"/>
      <c r="BK78" s="191"/>
      <c r="BL78" s="191"/>
      <c r="BM78" s="191"/>
      <c r="BN78" s="191"/>
      <c r="BO78" s="191"/>
      <c r="BP78" s="191"/>
      <c r="BQ78" s="191"/>
    </row>
    <row r="79" spans="1:69" ht="189" x14ac:dyDescent="0.65">
      <c r="A79" s="160">
        <v>76</v>
      </c>
      <c r="B79" s="160" t="s">
        <v>899</v>
      </c>
      <c r="C79" s="19" t="s">
        <v>957</v>
      </c>
      <c r="D79" s="28" t="s">
        <v>1197</v>
      </c>
      <c r="E79" s="207" t="s">
        <v>1092</v>
      </c>
      <c r="F79" s="194"/>
      <c r="G79" s="194" t="s">
        <v>117</v>
      </c>
      <c r="H79" s="194" t="s">
        <v>117</v>
      </c>
      <c r="I79" s="194" t="s">
        <v>1080</v>
      </c>
      <c r="J79" s="194" t="s">
        <v>1080</v>
      </c>
      <c r="K79" s="194" t="s">
        <v>1080</v>
      </c>
      <c r="L79" s="194" t="s">
        <v>1080</v>
      </c>
      <c r="M79" s="194" t="s">
        <v>1081</v>
      </c>
      <c r="N79" s="194">
        <f>COUNTIF(tblRisk[[#This Row],[Defends Against Malware]:[Defends Against Targeted Intrusions]],"Yes")</f>
        <v>1</v>
      </c>
      <c r="O79" s="160" t="s">
        <v>24</v>
      </c>
      <c r="P79" s="160" t="s">
        <v>88</v>
      </c>
      <c r="Q79" s="160" t="s">
        <v>30</v>
      </c>
      <c r="R79" s="160" t="s">
        <v>1085</v>
      </c>
      <c r="S79" s="160" t="s">
        <v>1444</v>
      </c>
      <c r="T79" s="160" t="s">
        <v>1443</v>
      </c>
      <c r="U79" s="160" t="s">
        <v>1442</v>
      </c>
      <c r="V79" s="160" t="s">
        <v>1600</v>
      </c>
      <c r="W79" s="160" t="s">
        <v>1796</v>
      </c>
      <c r="X79" s="160" t="s">
        <v>1797</v>
      </c>
      <c r="Y79" s="151">
        <f>IF(ISBLANK(tblRisk[[#This Row],[Threat Cluster]]),"",_xlfn.XLOOKUP(tblRisk[[#This Row],[Threat Cluster]],tblHIT[Threat Cluster],tblHIT[Quintile]))</f>
        <v>2</v>
      </c>
      <c r="Z79" s="152">
        <v>2</v>
      </c>
      <c r="AA79" s="153" t="str">
        <f>IF(OR(ISBLANK(tblRisk[[#This Row],[HIT Quintile]]),ISBLANK(tblRisk[[#This Row],[Control Maturity]])),"",_xlfn.XLOOKUP(tblRisk[[#This Row],[Control Maturity]] &amp; tblRisk[[#This Row],[HIT Quintile]],tblHITWDI[Lookup],tblHITWDI[Likelihood Description]))</f>
        <v>Common</v>
      </c>
      <c r="AB79" s="161">
        <f>IF(ISERROR(tblRisk[[#This Row],[Likelihood of Control Failure]]),"",VLOOKUP(tblRisk[[#This Row],[Likelihood of Control Failure]],tblLikelihood[],2,FALSE))</f>
        <v>4</v>
      </c>
      <c r="AC79" s="154">
        <v>2</v>
      </c>
      <c r="AD79" s="155">
        <v>2</v>
      </c>
      <c r="AE79" s="155">
        <v>3</v>
      </c>
      <c r="AF79" s="162">
        <f>IF(ISBLANK(tblRisk[[#This Row],[Impact to Mission]]),"",MAX(tblRisk[[#This Row],[Impact to Mission]:[Impact to Obligations]]))</f>
        <v>3</v>
      </c>
      <c r="AG79" s="163">
        <f>IF(ISERROR(tblRisk[[#This Row],[Impact Score]]*tblRisk[[#This Row],[Likelihood Score]]),"",tblRisk[[#This Row],[Likelihood Score]]*tblRisk[[#This Row],[Impact Score]])</f>
        <v>12</v>
      </c>
      <c r="AH79" s="163">
        <f>tblRisk[[#This Row],[Risk Score]]</f>
        <v>12</v>
      </c>
      <c r="AI79" s="164">
        <f t="shared" si="2"/>
        <v>9</v>
      </c>
      <c r="AJ79" s="164">
        <f>IF(tblRisk[[#This Row],[Safeguard Status]]="In Place",tblRisk[[#This Row],[Control Maturity after SG]],tblRisk[[#This Row],[Control Maturity]])</f>
        <v>2</v>
      </c>
      <c r="AK79" s="173" t="str">
        <f>IF(tblRisk[[#This Row],[Safeguard Status]]="In Place",tblRisk[[#This Row],[Safeguard Threat Cluster]],tblRisk[[#This Row],[Threat Cluster]])</f>
        <v>Hacking System</v>
      </c>
      <c r="AL79" s="164">
        <f>IF(tblRisk[[#This Row],[Safeguard Status]]="In Place",tblRisk[[#This Row],[Risk Level With Safeguard in Place]],tblRisk[[#This Row],[Risk Level]])</f>
        <v>12</v>
      </c>
      <c r="AM79" s="165" t="s">
        <v>1564</v>
      </c>
      <c r="AN79"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Network Architecture</v>
      </c>
      <c r="AO79"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Secure Network Architecture including:
 * training Network Engineering resources;
 * incorporating Secure Network Engineering concepts, techniques, and compliance obligations in architecture and support initiatives;
 * enforcing Secure Network Architecture requirements when outsourcing network engineering and support;
 * include Secure Network Architecture procedures in the System Development Lifecycle (SDLC), during initiation, design, development, testing, production migration, and support;
 * reporting of Secure Network Architecture performance metrics
</v>
      </c>
      <c r="AP79" s="165" t="s">
        <v>1896</v>
      </c>
      <c r="AQ7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79" s="19" t="str">
        <f>tblRisk[[#This Row],[Threat Cluster]]</f>
        <v>Hacking System</v>
      </c>
      <c r="AS79" s="156">
        <f>IF(ISBLANK(tblRisk[[#This Row],[Safeguard Threat Cluster]]),"",_xlfn.XLOOKUP(tblRisk[[#This Row],[Safeguard Threat Cluster]],tblHIT[Threat Cluster],tblHIT[Quintile]))</f>
        <v>2</v>
      </c>
      <c r="AT79" s="157">
        <v>4</v>
      </c>
      <c r="AU7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79" s="166">
        <f>IF(ISERROR(tblRisk[[#This Row],[Likelihood of Control Failure after SG]]),"",VLOOKUP(tblRisk[[#This Row],[Likelihood of Control Failure after SG]],tblLikelihood[#Data],2,FALSE))</f>
        <v>2</v>
      </c>
      <c r="AW79" s="159">
        <f>tblRisk[[#This Row],[Impact to Mission]]</f>
        <v>2</v>
      </c>
      <c r="AX79" s="159">
        <f>tblRisk[[#This Row],[Impact to Objectives]]</f>
        <v>2</v>
      </c>
      <c r="AY79" s="159">
        <f>tblRisk[[#This Row],[Impact to Obligations]]</f>
        <v>3</v>
      </c>
      <c r="AZ79" s="166">
        <f>IF(ISBLANK(tblRisk[[#This Row],[Impact to Mission With Safeguard in Place]]),"",MAX(tblRisk[[#This Row],[Impact to Mission With Safeguard in Place]:[Impact to Obligations With Safeguard in Place]]))</f>
        <v>3</v>
      </c>
      <c r="BA79" s="167">
        <f>IF(ISERROR(tblRisk[[#This Row],[Impact Score with Safeguard in Place]]*tblRisk[[#This Row],[Likelihood Score with Safeguard in Place]]),"",tblRisk[[#This Row],[Impact Score with Safeguard in Place]]*tblRisk[[#This Row],[Likelihood Score with Safeguard in Place]])</f>
        <v>6</v>
      </c>
      <c r="BB79" s="164">
        <f>tblRisk[[#This Row],[Risk Score With Safeguard in Place]]</f>
        <v>6</v>
      </c>
      <c r="BC79" s="168" t="str">
        <f>IF(tblRisk[[#This Row],[Risk Treatment Option]]&lt;&gt;"Accept",IF(_xlfn.XLOOKUP(tblRisk[[#This Row],[Specific Safeguard Recommendation]],ProTrak[Task],ProTrak[Status],"Not Found")="Completed","Pending Validation","Pending"),"")</f>
        <v>Pending</v>
      </c>
      <c r="BD79" s="169" t="str">
        <f>_xlfn.XLOOKUP(tblRisk[[#This Row],[Risk Treatment Program]],tblRiskTreatmentPrograms[Risk Treatment Program],tblRiskTreatmentPrograms[Estimated End Date (MM/DD/YYYY)],"")</f>
        <v>TBD</v>
      </c>
      <c r="BE79" s="170"/>
      <c r="BF79" s="171" t="str">
        <f>_xlfn.IFNA(IF(tblRisk[[#This Row],[Due Date]]&lt;=vWhatIfQuarter,"Closed",""),"")</f>
        <v/>
      </c>
      <c r="BG79" s="171">
        <f>IF(tblRisk[[#This Row],[Scenario Builder Status]]="Closed",tblRisk[[#This Row],[Risk Score With Safeguard in Place]],tblRisk[[#This Row],[Risk Score]])</f>
        <v>12</v>
      </c>
      <c r="BH79" s="192" t="str">
        <f>tblRisk[[#This Row],[Common Security Program]]&amp;tblRisk[[#This Row],[Common Security Control]]&amp;tblRisk[[#This Row],[Asset Designation ]]</f>
        <v>Network ArchitectureOperationNetwork</v>
      </c>
      <c r="BI79" s="191"/>
      <c r="BJ79" s="191"/>
      <c r="BK79" s="191" t="s">
        <v>117</v>
      </c>
      <c r="BL79" s="191"/>
      <c r="BM79" s="191"/>
      <c r="BN79" s="191"/>
      <c r="BO79" s="191"/>
      <c r="BP79" s="191"/>
      <c r="BQ79" s="191"/>
    </row>
    <row r="80" spans="1:69" ht="126" x14ac:dyDescent="0.65">
      <c r="A80" s="160">
        <v>77</v>
      </c>
      <c r="B80" s="160" t="s">
        <v>899</v>
      </c>
      <c r="C80" s="19" t="s">
        <v>958</v>
      </c>
      <c r="D80" s="28" t="s">
        <v>1198</v>
      </c>
      <c r="E80" s="207" t="s">
        <v>1092</v>
      </c>
      <c r="F80" s="194"/>
      <c r="G80" s="194" t="s">
        <v>117</v>
      </c>
      <c r="H80" s="194" t="s">
        <v>117</v>
      </c>
      <c r="I80" s="194" t="s">
        <v>1081</v>
      </c>
      <c r="J80" s="194" t="s">
        <v>1081</v>
      </c>
      <c r="K80" s="194" t="s">
        <v>1081</v>
      </c>
      <c r="L80" s="194" t="s">
        <v>1081</v>
      </c>
      <c r="M80" s="194" t="s">
        <v>1081</v>
      </c>
      <c r="N80" s="194">
        <f>COUNTIF(tblRisk[[#This Row],[Defends Against Malware]:[Defends Against Targeted Intrusions]],"Yes")</f>
        <v>5</v>
      </c>
      <c r="O80" s="160" t="s">
        <v>24</v>
      </c>
      <c r="P80" s="160" t="s">
        <v>88</v>
      </c>
      <c r="Q80" s="160" t="s">
        <v>32</v>
      </c>
      <c r="R80" s="160" t="s">
        <v>1085</v>
      </c>
      <c r="S80" s="160" t="s">
        <v>1444</v>
      </c>
      <c r="T80" s="160" t="s">
        <v>1443</v>
      </c>
      <c r="U80" s="160" t="s">
        <v>1442</v>
      </c>
      <c r="V80" s="160" t="s">
        <v>1601</v>
      </c>
      <c r="W80" s="160" t="s">
        <v>1709</v>
      </c>
      <c r="X80" s="160" t="s">
        <v>1798</v>
      </c>
      <c r="Y80" s="151">
        <f>IF(ISBLANK(tblRisk[[#This Row],[Threat Cluster]]),"",_xlfn.XLOOKUP(tblRisk[[#This Row],[Threat Cluster]],tblHIT[Threat Cluster],tblHIT[Quintile]))</f>
        <v>1</v>
      </c>
      <c r="Z80" s="152">
        <v>4</v>
      </c>
      <c r="AA80" s="153" t="str">
        <f>IF(OR(ISBLANK(tblRisk[[#This Row],[HIT Quintile]]),ISBLANK(tblRisk[[#This Row],[Control Maturity]])),"",_xlfn.XLOOKUP(tblRisk[[#This Row],[Control Maturity]] &amp; tblRisk[[#This Row],[HIT Quintile]],tblHITWDI[Lookup],tblHITWDI[Likelihood Description]))</f>
        <v>Not Foreseeable</v>
      </c>
      <c r="AB80" s="161">
        <f>IF(ISERROR(tblRisk[[#This Row],[Likelihood of Control Failure]]),"",VLOOKUP(tblRisk[[#This Row],[Likelihood of Control Failure]],tblLikelihood[],2,FALSE))</f>
        <v>1</v>
      </c>
      <c r="AC80" s="154">
        <v>2</v>
      </c>
      <c r="AD80" s="155">
        <v>2</v>
      </c>
      <c r="AE80" s="155">
        <v>3</v>
      </c>
      <c r="AF80" s="162">
        <f>IF(ISBLANK(tblRisk[[#This Row],[Impact to Mission]]),"",MAX(tblRisk[[#This Row],[Impact to Mission]:[Impact to Obligations]]))</f>
        <v>3</v>
      </c>
      <c r="AG80" s="163">
        <f>IF(ISERROR(tblRisk[[#This Row],[Impact Score]]*tblRisk[[#This Row],[Likelihood Score]]),"",tblRisk[[#This Row],[Likelihood Score]]*tblRisk[[#This Row],[Impact Score]])</f>
        <v>3</v>
      </c>
      <c r="AH80" s="163">
        <f>tblRisk[[#This Row],[Risk Score]]</f>
        <v>3</v>
      </c>
      <c r="AI80" s="164">
        <f t="shared" si="2"/>
        <v>9</v>
      </c>
      <c r="AJ80" s="164">
        <f>IF(tblRisk[[#This Row],[Safeguard Status]]="In Place",tblRisk[[#This Row],[Control Maturity after SG]],tblRisk[[#This Row],[Control Maturity]])</f>
        <v>4</v>
      </c>
      <c r="AK80" s="173" t="str">
        <f>IF(tblRisk[[#This Row],[Safeguard Status]]="In Place",tblRisk[[#This Row],[Safeguard Threat Cluster]],tblRisk[[#This Row],[Threat Cluster]])</f>
        <v>Malware</v>
      </c>
      <c r="AL80" s="164">
        <f>IF(tblRisk[[#This Row],[Safeguard Status]]="In Place",tblRisk[[#This Row],[Risk Level With Safeguard in Place]],tblRisk[[#This Row],[Risk Level]])</f>
        <v>3</v>
      </c>
      <c r="AM80" s="165" t="s">
        <v>1887</v>
      </c>
      <c r="AN80" s="165" t="str">
        <f>IF(tblRisk[[#This Row],[Risk Treatment Option]]="Manage",_xlfn.IFNA(INDEX(tblRiskTreatmentPrograms[#Data],MATCH(tblRisk[[#This Row],[Common Security Program]]&amp;tblRisk[[#This Row],[Common Security Control]],tblRiskTreatmentPrograms[Lookup],0),MATCH($AN$3,tblRiskTreatmentPrograms[#Headers],0)),txtBadRTP),"")</f>
        <v/>
      </c>
      <c r="AO80" s="165" t="str">
        <f>IF(tblRisk[[#This Row],[Risk Treatment Program]]="","",INDEX(tblRiskTreatmentPrograms[#Data],MATCH(tblRisk[[#This Row],[Risk Treatment Program]],tblRiskTreatmentPrograms[Risk Treatment Program],0),MATCH($AO$3,tblRiskTreatmentPrograms[#Headers],0)))</f>
        <v/>
      </c>
      <c r="AP80" s="165"/>
      <c r="AQ8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0" s="19" t="str">
        <f>tblRisk[[#This Row],[Threat Cluster]]</f>
        <v>Malware</v>
      </c>
      <c r="AS80" s="156">
        <f>IF(ISBLANK(tblRisk[[#This Row],[Safeguard Threat Cluster]]),"",_xlfn.XLOOKUP(tblRisk[[#This Row],[Safeguard Threat Cluster]],tblHIT[Threat Cluster],tblHIT[Quintile]))</f>
        <v>1</v>
      </c>
      <c r="AT80" s="157">
        <f>_xlfn.SWITCH(tblRisk[[#This Row],[Risk Treatment Option]],"Manage",tblRisk[[#This Row],[Control Maturity]]+1,tblRisk[[#This Row],[Control Maturity]])</f>
        <v>4</v>
      </c>
      <c r="AU80" s="158" t="str">
        <f>IF(OR(ISBLANK(tblRisk[[#This Row],[Safeguard HIT Quintile]]),ISBLANK(tblRisk[[#This Row],[Control Maturity after SG]])),"",_xlfn.XLOOKUP(tblRisk[[#This Row],[Control Maturity after SG]] &amp;tblRisk[[#This Row],[Safeguard HIT Quintile]],tblHITWDI[Lookup],tblHITWDI[Likelihood Description]))</f>
        <v>Not Foreseeable</v>
      </c>
      <c r="AV80" s="166">
        <f>IF(ISERROR(tblRisk[[#This Row],[Likelihood of Control Failure after SG]]),"",VLOOKUP(tblRisk[[#This Row],[Likelihood of Control Failure after SG]],tblLikelihood[#Data],2,FALSE))</f>
        <v>1</v>
      </c>
      <c r="AW80" s="159">
        <f>tblRisk[[#This Row],[Impact to Mission]]</f>
        <v>2</v>
      </c>
      <c r="AX80" s="159">
        <f>tblRisk[[#This Row],[Impact to Objectives]]</f>
        <v>2</v>
      </c>
      <c r="AY80" s="159">
        <f>tblRisk[[#This Row],[Impact to Obligations]]</f>
        <v>3</v>
      </c>
      <c r="AZ80" s="166">
        <f>IF(ISBLANK(tblRisk[[#This Row],[Impact to Mission With Safeguard in Place]]),"",MAX(tblRisk[[#This Row],[Impact to Mission With Safeguard in Place]:[Impact to Obligations With Safeguard in Place]]))</f>
        <v>3</v>
      </c>
      <c r="BA80" s="167">
        <f>IF(ISERROR(tblRisk[[#This Row],[Impact Score with Safeguard in Place]]*tblRisk[[#This Row],[Likelihood Score with Safeguard in Place]]),"",tblRisk[[#This Row],[Impact Score with Safeguard in Place]]*tblRisk[[#This Row],[Likelihood Score with Safeguard in Place]])</f>
        <v>3</v>
      </c>
      <c r="BB80" s="164">
        <f>tblRisk[[#This Row],[Risk Score With Safeguard in Place]]</f>
        <v>3</v>
      </c>
      <c r="BC80" s="168" t="str">
        <f>IF(tblRisk[[#This Row],[Risk Treatment Option]]&lt;&gt;"Accept",IF(_xlfn.XLOOKUP(tblRisk[[#This Row],[Specific Safeguard Recommendation]],ProTrak[Task],ProTrak[Status],"Not Found")="Completed","Pending Validation","Pending"),"")</f>
        <v/>
      </c>
      <c r="BD80" s="169" t="str">
        <f>_xlfn.XLOOKUP(tblRisk[[#This Row],[Risk Treatment Program]],tblRiskTreatmentPrograms[Risk Treatment Program],tblRiskTreatmentPrograms[Estimated End Date (MM/DD/YYYY)],"")</f>
        <v/>
      </c>
      <c r="BE80" s="170"/>
      <c r="BF80" s="171" t="str">
        <f>_xlfn.IFNA(IF(tblRisk[[#This Row],[Due Date]]&lt;=vWhatIfQuarter,"Closed",""),"")</f>
        <v/>
      </c>
      <c r="BG80" s="171">
        <f>IF(tblRisk[[#This Row],[Scenario Builder Status]]="Closed",tblRisk[[#This Row],[Risk Score With Safeguard in Place]],tblRisk[[#This Row],[Risk Score]])</f>
        <v>3</v>
      </c>
      <c r="BH80" s="192" t="str">
        <f>tblRisk[[#This Row],[Common Security Program]]&amp;tblRisk[[#This Row],[Common Security Control]]&amp;tblRisk[[#This Row],[Asset Designation ]]</f>
        <v>Network ArchitectureOperationNetwork</v>
      </c>
      <c r="BI80" s="191"/>
      <c r="BJ80" s="191"/>
      <c r="BK80" s="191" t="s">
        <v>117</v>
      </c>
      <c r="BL80" s="191"/>
      <c r="BM80" s="191"/>
      <c r="BN80" s="191"/>
      <c r="BO80" s="191"/>
      <c r="BP80" s="191"/>
      <c r="BQ80" s="191"/>
    </row>
    <row r="81" spans="1:69" ht="299.25" x14ac:dyDescent="0.65">
      <c r="A81" s="160">
        <v>78</v>
      </c>
      <c r="B81" s="160" t="s">
        <v>899</v>
      </c>
      <c r="C81" s="19" t="s">
        <v>959</v>
      </c>
      <c r="D81" s="28" t="s">
        <v>1199</v>
      </c>
      <c r="E81" s="207" t="s">
        <v>1092</v>
      </c>
      <c r="F81" s="194"/>
      <c r="G81" s="194"/>
      <c r="H81" s="194" t="s">
        <v>117</v>
      </c>
      <c r="I81" s="194" t="s">
        <v>1081</v>
      </c>
      <c r="J81" s="194" t="s">
        <v>1081</v>
      </c>
      <c r="K81" s="194" t="s">
        <v>1081</v>
      </c>
      <c r="L81" s="194" t="s">
        <v>1081</v>
      </c>
      <c r="M81" s="194" t="s">
        <v>1081</v>
      </c>
      <c r="N81" s="194">
        <f>COUNTIF(tblRisk[[#This Row],[Defends Against Malware]:[Defends Against Targeted Intrusions]],"Yes")</f>
        <v>5</v>
      </c>
      <c r="O81" s="160" t="s">
        <v>22</v>
      </c>
      <c r="P81" s="160" t="s">
        <v>88</v>
      </c>
      <c r="Q81" s="160" t="s">
        <v>30</v>
      </c>
      <c r="R81" s="160" t="s">
        <v>1085</v>
      </c>
      <c r="S81" s="160" t="s">
        <v>1431</v>
      </c>
      <c r="T81" s="160" t="s">
        <v>1429</v>
      </c>
      <c r="U81" s="160" t="s">
        <v>1430</v>
      </c>
      <c r="V81" s="160" t="s">
        <v>1602</v>
      </c>
      <c r="W81" s="160" t="s">
        <v>1709</v>
      </c>
      <c r="X81" s="160" t="s">
        <v>1799</v>
      </c>
      <c r="Y81" s="151">
        <f>IF(ISBLANK(tblRisk[[#This Row],[Threat Cluster]]),"",_xlfn.XLOOKUP(tblRisk[[#This Row],[Threat Cluster]],tblHIT[Threat Cluster],tblHIT[Quintile]))</f>
        <v>2</v>
      </c>
      <c r="Z81" s="152">
        <v>4</v>
      </c>
      <c r="AA81" s="153" t="str">
        <f>IF(OR(ISBLANK(tblRisk[[#This Row],[HIT Quintile]]),ISBLANK(tblRisk[[#This Row],[Control Maturity]])),"",_xlfn.XLOOKUP(tblRisk[[#This Row],[Control Maturity]] &amp; tblRisk[[#This Row],[HIT Quintile]],tblHITWDI[Lookup],tblHITWDI[Likelihood Description]))</f>
        <v>Foreseeable, not expected</v>
      </c>
      <c r="AB81" s="161">
        <f>IF(ISERROR(tblRisk[[#This Row],[Likelihood of Control Failure]]),"",VLOOKUP(tblRisk[[#This Row],[Likelihood of Control Failure]],tblLikelihood[],2,FALSE))</f>
        <v>2</v>
      </c>
      <c r="AC81" s="154">
        <v>2</v>
      </c>
      <c r="AD81" s="155">
        <v>2</v>
      </c>
      <c r="AE81" s="155">
        <v>3</v>
      </c>
      <c r="AF81" s="162">
        <f>IF(ISBLANK(tblRisk[[#This Row],[Impact to Mission]]),"",MAX(tblRisk[[#This Row],[Impact to Mission]:[Impact to Obligations]]))</f>
        <v>3</v>
      </c>
      <c r="AG81" s="163">
        <f>IF(ISERROR(tblRisk[[#This Row],[Impact Score]]*tblRisk[[#This Row],[Likelihood Score]]),"",tblRisk[[#This Row],[Likelihood Score]]*tblRisk[[#This Row],[Impact Score]])</f>
        <v>6</v>
      </c>
      <c r="AH81" s="163">
        <f>tblRisk[[#This Row],[Risk Score]]</f>
        <v>6</v>
      </c>
      <c r="AI81" s="164">
        <f t="shared" si="2"/>
        <v>9</v>
      </c>
      <c r="AJ81" s="164">
        <f>IF(tblRisk[[#This Row],[Safeguard Status]]="In Place",tblRisk[[#This Row],[Control Maturity after SG]],tblRisk[[#This Row],[Control Maturity]])</f>
        <v>4</v>
      </c>
      <c r="AK81" s="173" t="str">
        <f>IF(tblRisk[[#This Row],[Safeguard Status]]="In Place",tblRisk[[#This Row],[Safeguard Threat Cluster]],tblRisk[[#This Row],[Threat Cluster]])</f>
        <v>Hacking System</v>
      </c>
      <c r="AL81" s="164">
        <f>IF(tblRisk[[#This Row],[Safeguard Status]]="In Place",tblRisk[[#This Row],[Risk Level With Safeguard in Place]],tblRisk[[#This Row],[Risk Level]])</f>
        <v>6</v>
      </c>
      <c r="AM81" s="165" t="s">
        <v>1887</v>
      </c>
      <c r="AN81" s="165" t="str">
        <f>IF(tblRisk[[#This Row],[Risk Treatment Option]]="Manage",_xlfn.IFNA(INDEX(tblRiskTreatmentPrograms[#Data],MATCH(tblRisk[[#This Row],[Common Security Program]]&amp;tblRisk[[#This Row],[Common Security Control]],tblRiskTreatmentPrograms[Lookup],0),MATCH($AN$3,tblRiskTreatmentPrograms[#Headers],0)),txtBadRTP),"")</f>
        <v/>
      </c>
      <c r="AO81" s="165" t="str">
        <f>IF(tblRisk[[#This Row],[Risk Treatment Program]]="","",INDEX(tblRiskTreatmentPrograms[#Data],MATCH(tblRisk[[#This Row],[Risk Treatment Program]],tblRiskTreatmentPrograms[Risk Treatment Program],0),MATCH($AO$3,tblRiskTreatmentPrograms[#Headers],0)))</f>
        <v/>
      </c>
      <c r="AP81" s="165"/>
      <c r="AQ8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1" s="19" t="str">
        <f>tblRisk[[#This Row],[Threat Cluster]]</f>
        <v>Hacking System</v>
      </c>
      <c r="AS81" s="156">
        <f>IF(ISBLANK(tblRisk[[#This Row],[Safeguard Threat Cluster]]),"",_xlfn.XLOOKUP(tblRisk[[#This Row],[Safeguard Threat Cluster]],tblHIT[Threat Cluster],tblHIT[Quintile]))</f>
        <v>2</v>
      </c>
      <c r="AT81" s="157">
        <f>_xlfn.SWITCH(tblRisk[[#This Row],[Risk Treatment Option]],"Manage",tblRisk[[#This Row],[Control Maturity]]+1,tblRisk[[#This Row],[Control Maturity]])</f>
        <v>4</v>
      </c>
      <c r="AU8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81" s="166">
        <f>IF(ISERROR(tblRisk[[#This Row],[Likelihood of Control Failure after SG]]),"",VLOOKUP(tblRisk[[#This Row],[Likelihood of Control Failure after SG]],tblLikelihood[#Data],2,FALSE))</f>
        <v>2</v>
      </c>
      <c r="AW81" s="159">
        <f>tblRisk[[#This Row],[Impact to Mission]]</f>
        <v>2</v>
      </c>
      <c r="AX81" s="159">
        <f>tblRisk[[#This Row],[Impact to Objectives]]</f>
        <v>2</v>
      </c>
      <c r="AY81" s="159">
        <f>tblRisk[[#This Row],[Impact to Obligations]]</f>
        <v>3</v>
      </c>
      <c r="AZ81" s="166">
        <f>IF(ISBLANK(tblRisk[[#This Row],[Impact to Mission With Safeguard in Place]]),"",MAX(tblRisk[[#This Row],[Impact to Mission With Safeguard in Place]:[Impact to Obligations With Safeguard in Place]]))</f>
        <v>3</v>
      </c>
      <c r="BA81" s="167">
        <f>IF(ISERROR(tblRisk[[#This Row],[Impact Score with Safeguard in Place]]*tblRisk[[#This Row],[Likelihood Score with Safeguard in Place]]),"",tblRisk[[#This Row],[Impact Score with Safeguard in Place]]*tblRisk[[#This Row],[Likelihood Score with Safeguard in Place]])</f>
        <v>6</v>
      </c>
      <c r="BB81" s="164">
        <f>tblRisk[[#This Row],[Risk Score With Safeguard in Place]]</f>
        <v>6</v>
      </c>
      <c r="BC81" s="168" t="str">
        <f>IF(tblRisk[[#This Row],[Risk Treatment Option]]&lt;&gt;"Accept",IF(_xlfn.XLOOKUP(tblRisk[[#This Row],[Specific Safeguard Recommendation]],ProTrak[Task],ProTrak[Status],"Not Found")="Completed","Pending Validation","Pending"),"")</f>
        <v/>
      </c>
      <c r="BD81" s="169" t="str">
        <f>_xlfn.XLOOKUP(tblRisk[[#This Row],[Risk Treatment Program]],tblRiskTreatmentPrograms[Risk Treatment Program],tblRiskTreatmentPrograms[Estimated End Date (MM/DD/YYYY)],"")</f>
        <v/>
      </c>
      <c r="BE81" s="170"/>
      <c r="BF81" s="171" t="str">
        <f>_xlfn.IFNA(IF(tblRisk[[#This Row],[Due Date]]&lt;=vWhatIfQuarter,"Closed",""),"")</f>
        <v/>
      </c>
      <c r="BG81" s="171">
        <f>IF(tblRisk[[#This Row],[Scenario Builder Status]]="Closed",tblRisk[[#This Row],[Risk Score With Safeguard in Place]],tblRisk[[#This Row],[Risk Score]])</f>
        <v>6</v>
      </c>
      <c r="BH81" s="192" t="str">
        <f>tblRisk[[#This Row],[Common Security Program]]&amp;tblRisk[[#This Row],[Common Security Control]]&amp;tblRisk[[#This Row],[Asset Designation ]]</f>
        <v>Vulnerability ManagementOperationNetwork</v>
      </c>
      <c r="BI81" s="191"/>
      <c r="BJ81" s="191"/>
      <c r="BK81" s="191" t="s">
        <v>117</v>
      </c>
      <c r="BL81" s="191"/>
      <c r="BM81" s="191"/>
      <c r="BN81" s="191"/>
      <c r="BO81" s="191"/>
      <c r="BP81" s="191"/>
      <c r="BQ81" s="191"/>
    </row>
    <row r="82" spans="1:69" ht="299.25" x14ac:dyDescent="0.65">
      <c r="A82" s="160">
        <v>79</v>
      </c>
      <c r="B82" s="160" t="s">
        <v>899</v>
      </c>
      <c r="C82" s="19" t="s">
        <v>960</v>
      </c>
      <c r="D82" s="28" t="s">
        <v>1200</v>
      </c>
      <c r="E82" s="207" t="s">
        <v>1094</v>
      </c>
      <c r="F82" s="194" t="s">
        <v>117</v>
      </c>
      <c r="G82" s="194" t="s">
        <v>117</v>
      </c>
      <c r="H82" s="194" t="s">
        <v>117</v>
      </c>
      <c r="I82" s="194" t="s">
        <v>1081</v>
      </c>
      <c r="J82" s="194" t="s">
        <v>1081</v>
      </c>
      <c r="K82" s="194" t="s">
        <v>1081</v>
      </c>
      <c r="L82" s="194" t="s">
        <v>1081</v>
      </c>
      <c r="M82" s="194" t="s">
        <v>1081</v>
      </c>
      <c r="N82" s="194">
        <f>COUNTIF(tblRisk[[#This Row],[Defends Against Malware]:[Defends Against Targeted Intrusions]],"Yes")</f>
        <v>5</v>
      </c>
      <c r="O82" s="160" t="s">
        <v>22</v>
      </c>
      <c r="P82" s="160" t="s">
        <v>88</v>
      </c>
      <c r="Q82" s="160" t="s">
        <v>32</v>
      </c>
      <c r="R82" s="160" t="s">
        <v>1082</v>
      </c>
      <c r="S82" s="160" t="s">
        <v>1431</v>
      </c>
      <c r="T82" s="160" t="s">
        <v>1429</v>
      </c>
      <c r="U82" s="160" t="s">
        <v>1430</v>
      </c>
      <c r="V82" s="160" t="s">
        <v>1603</v>
      </c>
      <c r="W82" s="160" t="s">
        <v>1709</v>
      </c>
      <c r="X82" s="160" t="s">
        <v>1800</v>
      </c>
      <c r="Y82" s="151">
        <f>IF(ISBLANK(tblRisk[[#This Row],[Threat Cluster]]),"",_xlfn.XLOOKUP(tblRisk[[#This Row],[Threat Cluster]],tblHIT[Threat Cluster],tblHIT[Quintile]))</f>
        <v>1</v>
      </c>
      <c r="Z82" s="152">
        <v>5</v>
      </c>
      <c r="AA82" s="153" t="str">
        <f>IF(OR(ISBLANK(tblRisk[[#This Row],[HIT Quintile]]),ISBLANK(tblRisk[[#This Row],[Control Maturity]])),"",_xlfn.XLOOKUP(tblRisk[[#This Row],[Control Maturity]] &amp; tblRisk[[#This Row],[HIT Quintile]],tblHITWDI[Lookup],tblHITWDI[Likelihood Description]))</f>
        <v>Not Foreseeable</v>
      </c>
      <c r="AB82" s="161">
        <f>IF(ISERROR(tblRisk[[#This Row],[Likelihood of Control Failure]]),"",VLOOKUP(tblRisk[[#This Row],[Likelihood of Control Failure]],tblLikelihood[],2,FALSE))</f>
        <v>1</v>
      </c>
      <c r="AC82" s="154">
        <v>2</v>
      </c>
      <c r="AD82" s="155">
        <v>2</v>
      </c>
      <c r="AE82" s="155">
        <v>3</v>
      </c>
      <c r="AF82" s="162">
        <f>IF(ISBLANK(tblRisk[[#This Row],[Impact to Mission]]),"",MAX(tblRisk[[#This Row],[Impact to Mission]:[Impact to Obligations]]))</f>
        <v>3</v>
      </c>
      <c r="AG82" s="163">
        <f>IF(ISERROR(tblRisk[[#This Row],[Impact Score]]*tblRisk[[#This Row],[Likelihood Score]]),"",tblRisk[[#This Row],[Likelihood Score]]*tblRisk[[#This Row],[Impact Score]])</f>
        <v>3</v>
      </c>
      <c r="AH82" s="163">
        <f>tblRisk[[#This Row],[Risk Score]]</f>
        <v>3</v>
      </c>
      <c r="AI82" s="164">
        <f t="shared" si="2"/>
        <v>9</v>
      </c>
      <c r="AJ82" s="164">
        <f>IF(tblRisk[[#This Row],[Safeguard Status]]="In Place",tblRisk[[#This Row],[Control Maturity after SG]],tblRisk[[#This Row],[Control Maturity]])</f>
        <v>5</v>
      </c>
      <c r="AK82" s="173" t="str">
        <f>IF(tblRisk[[#This Row],[Safeguard Status]]="In Place",tblRisk[[#This Row],[Safeguard Threat Cluster]],tblRisk[[#This Row],[Threat Cluster]])</f>
        <v>Malware</v>
      </c>
      <c r="AL82" s="164">
        <f>IF(tblRisk[[#This Row],[Safeguard Status]]="In Place",tblRisk[[#This Row],[Risk Level With Safeguard in Place]],tblRisk[[#This Row],[Risk Level]])</f>
        <v>3</v>
      </c>
      <c r="AM82" s="165" t="s">
        <v>1887</v>
      </c>
      <c r="AN82" s="165" t="str">
        <f>IF(tblRisk[[#This Row],[Risk Treatment Option]]="Manage",_xlfn.IFNA(INDEX(tblRiskTreatmentPrograms[#Data],MATCH(tblRisk[[#This Row],[Common Security Program]]&amp;tblRisk[[#This Row],[Common Security Control]],tblRiskTreatmentPrograms[Lookup],0),MATCH($AN$3,tblRiskTreatmentPrograms[#Headers],0)),txtBadRTP),"")</f>
        <v/>
      </c>
      <c r="AO82" s="165" t="str">
        <f>IF(tblRisk[[#This Row],[Risk Treatment Program]]="","",INDEX(tblRiskTreatmentPrograms[#Data],MATCH(tblRisk[[#This Row],[Risk Treatment Program]],tblRiskTreatmentPrograms[Risk Treatment Program],0),MATCH($AO$3,tblRiskTreatmentPrograms[#Headers],0)))</f>
        <v/>
      </c>
      <c r="AP82" s="165"/>
      <c r="AQ8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2" s="19" t="str">
        <f>tblRisk[[#This Row],[Threat Cluster]]</f>
        <v>Malware</v>
      </c>
      <c r="AS82" s="156">
        <f>IF(ISBLANK(tblRisk[[#This Row],[Safeguard Threat Cluster]]),"",_xlfn.XLOOKUP(tblRisk[[#This Row],[Safeguard Threat Cluster]],tblHIT[Threat Cluster],tblHIT[Quintile]))</f>
        <v>1</v>
      </c>
      <c r="AT82" s="157">
        <f>_xlfn.SWITCH(tblRisk[[#This Row],[Risk Treatment Option]],"Manage",tblRisk[[#This Row],[Control Maturity]]+1,tblRisk[[#This Row],[Control Maturity]])</f>
        <v>5</v>
      </c>
      <c r="AU82" s="158" t="str">
        <f>IF(OR(ISBLANK(tblRisk[[#This Row],[Safeguard HIT Quintile]]),ISBLANK(tblRisk[[#This Row],[Control Maturity after SG]])),"",_xlfn.XLOOKUP(tblRisk[[#This Row],[Control Maturity after SG]] &amp;tblRisk[[#This Row],[Safeguard HIT Quintile]],tblHITWDI[Lookup],tblHITWDI[Likelihood Description]))</f>
        <v>Not Foreseeable</v>
      </c>
      <c r="AV82" s="166">
        <f>IF(ISERROR(tblRisk[[#This Row],[Likelihood of Control Failure after SG]]),"",VLOOKUP(tblRisk[[#This Row],[Likelihood of Control Failure after SG]],tblLikelihood[#Data],2,FALSE))</f>
        <v>1</v>
      </c>
      <c r="AW82" s="159">
        <f>tblRisk[[#This Row],[Impact to Mission]]</f>
        <v>2</v>
      </c>
      <c r="AX82" s="159">
        <f>tblRisk[[#This Row],[Impact to Objectives]]</f>
        <v>2</v>
      </c>
      <c r="AY82" s="159">
        <f>tblRisk[[#This Row],[Impact to Obligations]]</f>
        <v>3</v>
      </c>
      <c r="AZ82" s="166">
        <f>IF(ISBLANK(tblRisk[[#This Row],[Impact to Mission With Safeguard in Place]]),"",MAX(tblRisk[[#This Row],[Impact to Mission With Safeguard in Place]:[Impact to Obligations With Safeguard in Place]]))</f>
        <v>3</v>
      </c>
      <c r="BA82" s="167">
        <f>IF(ISERROR(tblRisk[[#This Row],[Impact Score with Safeguard in Place]]*tblRisk[[#This Row],[Likelihood Score with Safeguard in Place]]),"",tblRisk[[#This Row],[Impact Score with Safeguard in Place]]*tblRisk[[#This Row],[Likelihood Score with Safeguard in Place]])</f>
        <v>3</v>
      </c>
      <c r="BB82" s="164">
        <f>tblRisk[[#This Row],[Risk Score With Safeguard in Place]]</f>
        <v>3</v>
      </c>
      <c r="BC82" s="168" t="str">
        <f>IF(tblRisk[[#This Row],[Risk Treatment Option]]&lt;&gt;"Accept",IF(_xlfn.XLOOKUP(tblRisk[[#This Row],[Specific Safeguard Recommendation]],ProTrak[Task],ProTrak[Status],"Not Found")="Completed","Pending Validation","Pending"),"")</f>
        <v/>
      </c>
      <c r="BD82" s="169" t="str">
        <f>_xlfn.XLOOKUP(tblRisk[[#This Row],[Risk Treatment Program]],tblRiskTreatmentPrograms[Risk Treatment Program],tblRiskTreatmentPrograms[Estimated End Date (MM/DD/YYYY)],"")</f>
        <v/>
      </c>
      <c r="BE82" s="170"/>
      <c r="BF82" s="171" t="str">
        <f>_xlfn.IFNA(IF(tblRisk[[#This Row],[Due Date]]&lt;=vWhatIfQuarter,"Closed",""),"")</f>
        <v/>
      </c>
      <c r="BG82" s="171">
        <f>IF(tblRisk[[#This Row],[Scenario Builder Status]]="Closed",tblRisk[[#This Row],[Risk Score With Safeguard in Place]],tblRisk[[#This Row],[Risk Score]])</f>
        <v>3</v>
      </c>
      <c r="BH82" s="192" t="str">
        <f>tblRisk[[#This Row],[Common Security Program]]&amp;tblRisk[[#This Row],[Common Security Control]]&amp;tblRisk[[#This Row],[Asset Designation ]]</f>
        <v>Vulnerability ManagementOperationDevices</v>
      </c>
      <c r="BI82" s="191"/>
      <c r="BJ82" s="191"/>
      <c r="BK82" s="191"/>
      <c r="BL82" s="191" t="s">
        <v>117</v>
      </c>
      <c r="BM82" s="191"/>
      <c r="BN82" s="191"/>
      <c r="BO82" s="191" t="s">
        <v>117</v>
      </c>
      <c r="BP82" s="191" t="s">
        <v>117</v>
      </c>
      <c r="BQ82" s="191"/>
    </row>
    <row r="83" spans="1:69" ht="299.25" x14ac:dyDescent="0.65">
      <c r="A83" s="160">
        <v>80</v>
      </c>
      <c r="B83" s="160" t="s">
        <v>899</v>
      </c>
      <c r="C83" s="19" t="s">
        <v>961</v>
      </c>
      <c r="D83" s="28" t="s">
        <v>1201</v>
      </c>
      <c r="E83" s="207" t="s">
        <v>1094</v>
      </c>
      <c r="F83" s="194" t="s">
        <v>117</v>
      </c>
      <c r="G83" s="194" t="s">
        <v>117</v>
      </c>
      <c r="H83" s="194" t="s">
        <v>117</v>
      </c>
      <c r="I83" s="194" t="s">
        <v>1081</v>
      </c>
      <c r="J83" s="194" t="s">
        <v>1081</v>
      </c>
      <c r="K83" s="194" t="s">
        <v>1081</v>
      </c>
      <c r="L83" s="194" t="s">
        <v>1081</v>
      </c>
      <c r="M83" s="194" t="s">
        <v>1081</v>
      </c>
      <c r="N83" s="194">
        <f>COUNTIF(tblRisk[[#This Row],[Defends Against Malware]:[Defends Against Targeted Intrusions]],"Yes")</f>
        <v>5</v>
      </c>
      <c r="O83" s="160" t="s">
        <v>22</v>
      </c>
      <c r="P83" s="160" t="s">
        <v>88</v>
      </c>
      <c r="Q83" s="160" t="s">
        <v>32</v>
      </c>
      <c r="R83" s="160" t="s">
        <v>1082</v>
      </c>
      <c r="S83" s="160" t="s">
        <v>1431</v>
      </c>
      <c r="T83" s="160" t="s">
        <v>1429</v>
      </c>
      <c r="U83" s="160" t="s">
        <v>1430</v>
      </c>
      <c r="V83" s="160" t="s">
        <v>1604</v>
      </c>
      <c r="W83" s="160" t="s">
        <v>1709</v>
      </c>
      <c r="X83" s="160" t="s">
        <v>1801</v>
      </c>
      <c r="Y83" s="151">
        <f>IF(ISBLANK(tblRisk[[#This Row],[Threat Cluster]]),"",_xlfn.XLOOKUP(tblRisk[[#This Row],[Threat Cluster]],tblHIT[Threat Cluster],tblHIT[Quintile]))</f>
        <v>1</v>
      </c>
      <c r="Z83" s="152">
        <v>5</v>
      </c>
      <c r="AA83" s="153" t="str">
        <f>IF(OR(ISBLANK(tblRisk[[#This Row],[HIT Quintile]]),ISBLANK(tblRisk[[#This Row],[Control Maturity]])),"",_xlfn.XLOOKUP(tblRisk[[#This Row],[Control Maturity]] &amp; tblRisk[[#This Row],[HIT Quintile]],tblHITWDI[Lookup],tblHITWDI[Likelihood Description]))</f>
        <v>Not Foreseeable</v>
      </c>
      <c r="AB83" s="161">
        <f>IF(ISERROR(tblRisk[[#This Row],[Likelihood of Control Failure]]),"",VLOOKUP(tblRisk[[#This Row],[Likelihood of Control Failure]],tblLikelihood[],2,FALSE))</f>
        <v>1</v>
      </c>
      <c r="AC83" s="154">
        <v>2</v>
      </c>
      <c r="AD83" s="155">
        <v>2</v>
      </c>
      <c r="AE83" s="155">
        <v>2</v>
      </c>
      <c r="AF83" s="162">
        <f>IF(ISBLANK(tblRisk[[#This Row],[Impact to Mission]]),"",MAX(tblRisk[[#This Row],[Impact to Mission]:[Impact to Obligations]]))</f>
        <v>2</v>
      </c>
      <c r="AG83" s="163">
        <f>IF(ISERROR(tblRisk[[#This Row],[Impact Score]]*tblRisk[[#This Row],[Likelihood Score]]),"",tblRisk[[#This Row],[Likelihood Score]]*tblRisk[[#This Row],[Impact Score]])</f>
        <v>2</v>
      </c>
      <c r="AH83" s="163">
        <f>tblRisk[[#This Row],[Risk Score]]</f>
        <v>2</v>
      </c>
      <c r="AI83" s="164">
        <f t="shared" si="2"/>
        <v>9</v>
      </c>
      <c r="AJ83" s="164">
        <f>IF(tblRisk[[#This Row],[Safeguard Status]]="In Place",tblRisk[[#This Row],[Control Maturity after SG]],tblRisk[[#This Row],[Control Maturity]])</f>
        <v>5</v>
      </c>
      <c r="AK83" s="173" t="str">
        <f>IF(tblRisk[[#This Row],[Safeguard Status]]="In Place",tblRisk[[#This Row],[Safeguard Threat Cluster]],tblRisk[[#This Row],[Threat Cluster]])</f>
        <v>Malware</v>
      </c>
      <c r="AL83" s="164">
        <f>IF(tblRisk[[#This Row],[Safeguard Status]]="In Place",tblRisk[[#This Row],[Risk Level With Safeguard in Place]],tblRisk[[#This Row],[Risk Level]])</f>
        <v>2</v>
      </c>
      <c r="AM83" s="165" t="s">
        <v>1887</v>
      </c>
      <c r="AN83" s="165" t="str">
        <f>IF(tblRisk[[#This Row],[Risk Treatment Option]]="Manage",_xlfn.IFNA(INDEX(tblRiskTreatmentPrograms[#Data],MATCH(tblRisk[[#This Row],[Common Security Program]]&amp;tblRisk[[#This Row],[Common Security Control]],tblRiskTreatmentPrograms[Lookup],0),MATCH($AN$3,tblRiskTreatmentPrograms[#Headers],0)),txtBadRTP),"")</f>
        <v/>
      </c>
      <c r="AO83" s="165" t="str">
        <f>IF(tblRisk[[#This Row],[Risk Treatment Program]]="","",INDEX(tblRiskTreatmentPrograms[#Data],MATCH(tblRisk[[#This Row],[Risk Treatment Program]],tblRiskTreatmentPrograms[Risk Treatment Program],0),MATCH($AO$3,tblRiskTreatmentPrograms[#Headers],0)))</f>
        <v/>
      </c>
      <c r="AP83" s="165"/>
      <c r="AQ8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3" s="19" t="str">
        <f>tblRisk[[#This Row],[Threat Cluster]]</f>
        <v>Malware</v>
      </c>
      <c r="AS83" s="156">
        <f>IF(ISBLANK(tblRisk[[#This Row],[Safeguard Threat Cluster]]),"",_xlfn.XLOOKUP(tblRisk[[#This Row],[Safeguard Threat Cluster]],tblHIT[Threat Cluster],tblHIT[Quintile]))</f>
        <v>1</v>
      </c>
      <c r="AT83" s="157">
        <f>_xlfn.SWITCH(tblRisk[[#This Row],[Risk Treatment Option]],"Manage",tblRisk[[#This Row],[Control Maturity]]+1,tblRisk[[#This Row],[Control Maturity]])</f>
        <v>5</v>
      </c>
      <c r="AU83" s="158" t="str">
        <f>IF(OR(ISBLANK(tblRisk[[#This Row],[Safeguard HIT Quintile]]),ISBLANK(tblRisk[[#This Row],[Control Maturity after SG]])),"",_xlfn.XLOOKUP(tblRisk[[#This Row],[Control Maturity after SG]] &amp;tblRisk[[#This Row],[Safeguard HIT Quintile]],tblHITWDI[Lookup],tblHITWDI[Likelihood Description]))</f>
        <v>Not Foreseeable</v>
      </c>
      <c r="AV83" s="166">
        <f>IF(ISERROR(tblRisk[[#This Row],[Likelihood of Control Failure after SG]]),"",VLOOKUP(tblRisk[[#This Row],[Likelihood of Control Failure after SG]],tblLikelihood[#Data],2,FALSE))</f>
        <v>1</v>
      </c>
      <c r="AW83" s="159">
        <f>tblRisk[[#This Row],[Impact to Mission]]</f>
        <v>2</v>
      </c>
      <c r="AX83" s="159">
        <f>tblRisk[[#This Row],[Impact to Objectives]]</f>
        <v>2</v>
      </c>
      <c r="AY83" s="159">
        <f>tblRisk[[#This Row],[Impact to Obligations]]</f>
        <v>2</v>
      </c>
      <c r="AZ83" s="166">
        <f>IF(ISBLANK(tblRisk[[#This Row],[Impact to Mission With Safeguard in Place]]),"",MAX(tblRisk[[#This Row],[Impact to Mission With Safeguard in Place]:[Impact to Obligations With Safeguard in Place]]))</f>
        <v>2</v>
      </c>
      <c r="BA83" s="167">
        <f>IF(ISERROR(tblRisk[[#This Row],[Impact Score with Safeguard in Place]]*tblRisk[[#This Row],[Likelihood Score with Safeguard in Place]]),"",tblRisk[[#This Row],[Impact Score with Safeguard in Place]]*tblRisk[[#This Row],[Likelihood Score with Safeguard in Place]])</f>
        <v>2</v>
      </c>
      <c r="BB83" s="164">
        <f>tblRisk[[#This Row],[Risk Score With Safeguard in Place]]</f>
        <v>2</v>
      </c>
      <c r="BC83" s="168" t="str">
        <f>IF(tblRisk[[#This Row],[Risk Treatment Option]]&lt;&gt;"Accept",IF(_xlfn.XLOOKUP(tblRisk[[#This Row],[Specific Safeguard Recommendation]],ProTrak[Task],ProTrak[Status],"Not Found")="Completed","Pending Validation","Pending"),"")</f>
        <v/>
      </c>
      <c r="BD83" s="169" t="str">
        <f>_xlfn.XLOOKUP(tblRisk[[#This Row],[Risk Treatment Program]],tblRiskTreatmentPrograms[Risk Treatment Program],tblRiskTreatmentPrograms[Estimated End Date (MM/DD/YYYY)],"")</f>
        <v/>
      </c>
      <c r="BE83" s="170"/>
      <c r="BF83" s="171" t="str">
        <f>_xlfn.IFNA(IF(tblRisk[[#This Row],[Due Date]]&lt;=vWhatIfQuarter,"Closed",""),"")</f>
        <v/>
      </c>
      <c r="BG83" s="171">
        <f>IF(tblRisk[[#This Row],[Scenario Builder Status]]="Closed",tblRisk[[#This Row],[Risk Score With Safeguard in Place]],tblRisk[[#This Row],[Risk Score]])</f>
        <v>2</v>
      </c>
      <c r="BH83" s="192" t="str">
        <f>tblRisk[[#This Row],[Common Security Program]]&amp;tblRisk[[#This Row],[Common Security Control]]&amp;tblRisk[[#This Row],[Asset Designation ]]</f>
        <v>Vulnerability ManagementOperationDevices</v>
      </c>
      <c r="BI83" s="191"/>
      <c r="BJ83" s="191"/>
      <c r="BK83" s="191"/>
      <c r="BL83" s="191" t="s">
        <v>117</v>
      </c>
      <c r="BM83" s="191"/>
      <c r="BN83" s="191"/>
      <c r="BO83" s="191" t="s">
        <v>117</v>
      </c>
      <c r="BP83" s="191" t="s">
        <v>117</v>
      </c>
      <c r="BQ83" s="191"/>
    </row>
    <row r="84" spans="1:69" ht="299.25" x14ac:dyDescent="0.65">
      <c r="A84" s="160">
        <v>81</v>
      </c>
      <c r="B84" s="160" t="s">
        <v>899</v>
      </c>
      <c r="C84" s="19" t="s">
        <v>962</v>
      </c>
      <c r="D84" s="28" t="s">
        <v>1202</v>
      </c>
      <c r="E84" s="207" t="s">
        <v>1094</v>
      </c>
      <c r="F84" s="194" t="s">
        <v>117</v>
      </c>
      <c r="G84" s="194" t="s">
        <v>117</v>
      </c>
      <c r="H84" s="194" t="s">
        <v>117</v>
      </c>
      <c r="I84" s="194" t="s">
        <v>1081</v>
      </c>
      <c r="J84" s="194" t="s">
        <v>1081</v>
      </c>
      <c r="K84" s="194" t="s">
        <v>1081</v>
      </c>
      <c r="L84" s="194" t="s">
        <v>1081</v>
      </c>
      <c r="M84" s="194" t="s">
        <v>1080</v>
      </c>
      <c r="N84" s="194">
        <f>COUNTIF(tblRisk[[#This Row],[Defends Against Malware]:[Defends Against Targeted Intrusions]],"Yes")</f>
        <v>4</v>
      </c>
      <c r="O84" s="160" t="s">
        <v>22</v>
      </c>
      <c r="P84" s="160" t="s">
        <v>88</v>
      </c>
      <c r="Q84" s="160" t="s">
        <v>611</v>
      </c>
      <c r="R84" s="160" t="s">
        <v>1082</v>
      </c>
      <c r="S84" s="160" t="s">
        <v>1431</v>
      </c>
      <c r="T84" s="160" t="s">
        <v>1429</v>
      </c>
      <c r="U84" s="160" t="s">
        <v>1430</v>
      </c>
      <c r="V84" s="160" t="s">
        <v>1605</v>
      </c>
      <c r="W84" s="160" t="s">
        <v>1709</v>
      </c>
      <c r="X84" s="160" t="s">
        <v>1802</v>
      </c>
      <c r="Y84" s="151">
        <f>IF(ISBLANK(tblRisk[[#This Row],[Threat Cluster]]),"",_xlfn.XLOOKUP(tblRisk[[#This Row],[Threat Cluster]],tblHIT[Threat Cluster],tblHIT[Quintile]))</f>
        <v>3</v>
      </c>
      <c r="Z84" s="152">
        <v>5</v>
      </c>
      <c r="AA84" s="153" t="str">
        <f>IF(OR(ISBLANK(tblRisk[[#This Row],[HIT Quintile]]),ISBLANK(tblRisk[[#This Row],[Control Maturity]])),"",_xlfn.XLOOKUP(tblRisk[[#This Row],[Control Maturity]] &amp; tblRisk[[#This Row],[HIT Quintile]],tblHITWDI[Lookup],tblHITWDI[Likelihood Description]))</f>
        <v>Not Foreseeable</v>
      </c>
      <c r="AB84" s="161">
        <f>IF(ISERROR(tblRisk[[#This Row],[Likelihood of Control Failure]]),"",VLOOKUP(tblRisk[[#This Row],[Likelihood of Control Failure]],tblLikelihood[],2,FALSE))</f>
        <v>1</v>
      </c>
      <c r="AC84" s="154">
        <v>2</v>
      </c>
      <c r="AD84" s="155">
        <v>2</v>
      </c>
      <c r="AE84" s="155">
        <v>2</v>
      </c>
      <c r="AF84" s="162">
        <f>IF(ISBLANK(tblRisk[[#This Row],[Impact to Mission]]),"",MAX(tblRisk[[#This Row],[Impact to Mission]:[Impact to Obligations]]))</f>
        <v>2</v>
      </c>
      <c r="AG84" s="163">
        <f>IF(ISERROR(tblRisk[[#This Row],[Impact Score]]*tblRisk[[#This Row],[Likelihood Score]]),"",tblRisk[[#This Row],[Likelihood Score]]*tblRisk[[#This Row],[Impact Score]])</f>
        <v>2</v>
      </c>
      <c r="AH84" s="163">
        <f>tblRisk[[#This Row],[Risk Score]]</f>
        <v>2</v>
      </c>
      <c r="AI84" s="164">
        <f t="shared" si="2"/>
        <v>9</v>
      </c>
      <c r="AJ84" s="164">
        <f>IF(tblRisk[[#This Row],[Safeguard Status]]="In Place",tblRisk[[#This Row],[Control Maturity after SG]],tblRisk[[#This Row],[Control Maturity]])</f>
        <v>5</v>
      </c>
      <c r="AK84" s="173" t="str">
        <f>IF(tblRisk[[#This Row],[Safeguard Status]]="In Place",tblRisk[[#This Row],[Safeguard Threat Cluster]],tblRisk[[#This Row],[Threat Cluster]])</f>
        <v>Physical Facility</v>
      </c>
      <c r="AL84" s="164">
        <f>IF(tblRisk[[#This Row],[Safeguard Status]]="In Place",tblRisk[[#This Row],[Risk Level With Safeguard in Place]],tblRisk[[#This Row],[Risk Level]])</f>
        <v>2</v>
      </c>
      <c r="AM84" s="165" t="s">
        <v>1887</v>
      </c>
      <c r="AN84" s="165" t="str">
        <f>IF(tblRisk[[#This Row],[Risk Treatment Option]]="Manage",_xlfn.IFNA(INDEX(tblRiskTreatmentPrograms[#Data],MATCH(tblRisk[[#This Row],[Common Security Program]]&amp;tblRisk[[#This Row],[Common Security Control]],tblRiskTreatmentPrograms[Lookup],0),MATCH($AN$3,tblRiskTreatmentPrograms[#Headers],0)),txtBadRTP),"")</f>
        <v/>
      </c>
      <c r="AO84" s="165" t="str">
        <f>IF(tblRisk[[#This Row],[Risk Treatment Program]]="","",INDEX(tblRiskTreatmentPrograms[#Data],MATCH(tblRisk[[#This Row],[Risk Treatment Program]],tblRiskTreatmentPrograms[Risk Treatment Program],0),MATCH($AO$3,tblRiskTreatmentPrograms[#Headers],0)))</f>
        <v/>
      </c>
      <c r="AP84" s="165"/>
      <c r="AQ8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4" s="19" t="str">
        <f>tblRisk[[#This Row],[Threat Cluster]]</f>
        <v>Physical Facility</v>
      </c>
      <c r="AS84" s="156">
        <f>IF(ISBLANK(tblRisk[[#This Row],[Safeguard Threat Cluster]]),"",_xlfn.XLOOKUP(tblRisk[[#This Row],[Safeguard Threat Cluster]],tblHIT[Threat Cluster],tblHIT[Quintile]))</f>
        <v>3</v>
      </c>
      <c r="AT84" s="157">
        <f>_xlfn.SWITCH(tblRisk[[#This Row],[Risk Treatment Option]],"Manage",tblRisk[[#This Row],[Control Maturity]]+1,tblRisk[[#This Row],[Control Maturity]])</f>
        <v>5</v>
      </c>
      <c r="AU84" s="158" t="str">
        <f>IF(OR(ISBLANK(tblRisk[[#This Row],[Safeguard HIT Quintile]]),ISBLANK(tblRisk[[#This Row],[Control Maturity after SG]])),"",_xlfn.XLOOKUP(tblRisk[[#This Row],[Control Maturity after SG]] &amp;tblRisk[[#This Row],[Safeguard HIT Quintile]],tblHITWDI[Lookup],tblHITWDI[Likelihood Description]))</f>
        <v>Not Foreseeable</v>
      </c>
      <c r="AV84" s="166">
        <f>IF(ISERROR(tblRisk[[#This Row],[Likelihood of Control Failure after SG]]),"",VLOOKUP(tblRisk[[#This Row],[Likelihood of Control Failure after SG]],tblLikelihood[#Data],2,FALSE))</f>
        <v>1</v>
      </c>
      <c r="AW84" s="159">
        <f>tblRisk[[#This Row],[Impact to Mission]]</f>
        <v>2</v>
      </c>
      <c r="AX84" s="159">
        <f>tblRisk[[#This Row],[Impact to Objectives]]</f>
        <v>2</v>
      </c>
      <c r="AY84" s="159">
        <f>tblRisk[[#This Row],[Impact to Obligations]]</f>
        <v>2</v>
      </c>
      <c r="AZ84" s="166">
        <f>IF(ISBLANK(tblRisk[[#This Row],[Impact to Mission With Safeguard in Place]]),"",MAX(tblRisk[[#This Row],[Impact to Mission With Safeguard in Place]:[Impact to Obligations With Safeguard in Place]]))</f>
        <v>2</v>
      </c>
      <c r="BA84" s="167">
        <f>IF(ISERROR(tblRisk[[#This Row],[Impact Score with Safeguard in Place]]*tblRisk[[#This Row],[Likelihood Score with Safeguard in Place]]),"",tblRisk[[#This Row],[Impact Score with Safeguard in Place]]*tblRisk[[#This Row],[Likelihood Score with Safeguard in Place]])</f>
        <v>2</v>
      </c>
      <c r="BB84" s="164">
        <f>tblRisk[[#This Row],[Risk Score With Safeguard in Place]]</f>
        <v>2</v>
      </c>
      <c r="BC84" s="168" t="str">
        <f>IF(tblRisk[[#This Row],[Risk Treatment Option]]&lt;&gt;"Accept",IF(_xlfn.XLOOKUP(tblRisk[[#This Row],[Specific Safeguard Recommendation]],ProTrak[Task],ProTrak[Status],"Not Found")="Completed","Pending Validation","Pending"),"")</f>
        <v/>
      </c>
      <c r="BD84" s="169" t="str">
        <f>_xlfn.XLOOKUP(tblRisk[[#This Row],[Risk Treatment Program]],tblRiskTreatmentPrograms[Risk Treatment Program],tblRiskTreatmentPrograms[Estimated End Date (MM/DD/YYYY)],"")</f>
        <v/>
      </c>
      <c r="BE84" s="170"/>
      <c r="BF84" s="171" t="str">
        <f>_xlfn.IFNA(IF(tblRisk[[#This Row],[Due Date]]&lt;=vWhatIfQuarter,"Closed",""),"")</f>
        <v/>
      </c>
      <c r="BG84" s="171">
        <f>IF(tblRisk[[#This Row],[Scenario Builder Status]]="Closed",tblRisk[[#This Row],[Risk Score With Safeguard in Place]],tblRisk[[#This Row],[Risk Score]])</f>
        <v>2</v>
      </c>
      <c r="BH84" s="192" t="str">
        <f>tblRisk[[#This Row],[Common Security Program]]&amp;tblRisk[[#This Row],[Common Security Control]]&amp;tblRisk[[#This Row],[Asset Designation ]]</f>
        <v>Vulnerability ManagementOperationDevices</v>
      </c>
      <c r="BI84" s="191"/>
      <c r="BJ84" s="191"/>
      <c r="BK84" s="191"/>
      <c r="BL84" s="191" t="s">
        <v>117</v>
      </c>
      <c r="BM84" s="191"/>
      <c r="BN84" s="191"/>
      <c r="BO84" s="191" t="s">
        <v>117</v>
      </c>
      <c r="BP84" s="191" t="s">
        <v>117</v>
      </c>
      <c r="BQ84" s="191"/>
    </row>
    <row r="85" spans="1:69" ht="299.25" x14ac:dyDescent="0.65">
      <c r="A85" s="160">
        <v>82</v>
      </c>
      <c r="B85" s="160" t="s">
        <v>899</v>
      </c>
      <c r="C85" s="19" t="s">
        <v>963</v>
      </c>
      <c r="D85" s="28" t="s">
        <v>1203</v>
      </c>
      <c r="E85" s="207" t="s">
        <v>1091</v>
      </c>
      <c r="F85" s="194"/>
      <c r="G85" s="194" t="s">
        <v>117</v>
      </c>
      <c r="H85" s="194" t="s">
        <v>117</v>
      </c>
      <c r="I85" s="194" t="s">
        <v>1080</v>
      </c>
      <c r="J85" s="194" t="s">
        <v>1080</v>
      </c>
      <c r="K85" s="194" t="s">
        <v>1080</v>
      </c>
      <c r="L85" s="194" t="s">
        <v>1080</v>
      </c>
      <c r="M85" s="194" t="s">
        <v>1080</v>
      </c>
      <c r="N85" s="194">
        <f>COUNTIF(tblRisk[[#This Row],[Defends Against Malware]:[Defends Against Targeted Intrusions]],"Yes")</f>
        <v>0</v>
      </c>
      <c r="O85" s="160" t="s">
        <v>22</v>
      </c>
      <c r="P85" s="160" t="s">
        <v>88</v>
      </c>
      <c r="Q85" s="160" t="s">
        <v>32</v>
      </c>
      <c r="R85" s="160" t="s">
        <v>1082</v>
      </c>
      <c r="S85" s="160" t="s">
        <v>1431</v>
      </c>
      <c r="T85" s="160" t="s">
        <v>1429</v>
      </c>
      <c r="U85" s="160" t="s">
        <v>1430</v>
      </c>
      <c r="V85" s="160" t="s">
        <v>1606</v>
      </c>
      <c r="W85" s="160" t="s">
        <v>1709</v>
      </c>
      <c r="X85" s="160" t="s">
        <v>1803</v>
      </c>
      <c r="Y85" s="151">
        <f>IF(ISBLANK(tblRisk[[#This Row],[Threat Cluster]]),"",_xlfn.XLOOKUP(tblRisk[[#This Row],[Threat Cluster]],tblHIT[Threat Cluster],tblHIT[Quintile]))</f>
        <v>1</v>
      </c>
      <c r="Z85" s="152">
        <v>5</v>
      </c>
      <c r="AA85" s="153" t="str">
        <f>IF(OR(ISBLANK(tblRisk[[#This Row],[HIT Quintile]]),ISBLANK(tblRisk[[#This Row],[Control Maturity]])),"",_xlfn.XLOOKUP(tblRisk[[#This Row],[Control Maturity]] &amp; tblRisk[[#This Row],[HIT Quintile]],tblHITWDI[Lookup],tblHITWDI[Likelihood Description]))</f>
        <v>Not Foreseeable</v>
      </c>
      <c r="AB85" s="161">
        <f>IF(ISERROR(tblRisk[[#This Row],[Likelihood of Control Failure]]),"",VLOOKUP(tblRisk[[#This Row],[Likelihood of Control Failure]],tblLikelihood[],2,FALSE))</f>
        <v>1</v>
      </c>
      <c r="AC85" s="154">
        <v>2</v>
      </c>
      <c r="AD85" s="155">
        <v>2</v>
      </c>
      <c r="AE85" s="155">
        <v>2</v>
      </c>
      <c r="AF85" s="162">
        <f>IF(ISBLANK(tblRisk[[#This Row],[Impact to Mission]]),"",MAX(tblRisk[[#This Row],[Impact to Mission]:[Impact to Obligations]]))</f>
        <v>2</v>
      </c>
      <c r="AG85" s="163">
        <f>IF(ISERROR(tblRisk[[#This Row],[Impact Score]]*tblRisk[[#This Row],[Likelihood Score]]),"",tblRisk[[#This Row],[Likelihood Score]]*tblRisk[[#This Row],[Impact Score]])</f>
        <v>2</v>
      </c>
      <c r="AH85" s="163">
        <f>tblRisk[[#This Row],[Risk Score]]</f>
        <v>2</v>
      </c>
      <c r="AI85" s="164">
        <f t="shared" si="2"/>
        <v>9</v>
      </c>
      <c r="AJ85" s="164">
        <f>IF(tblRisk[[#This Row],[Safeguard Status]]="In Place",tblRisk[[#This Row],[Control Maturity after SG]],tblRisk[[#This Row],[Control Maturity]])</f>
        <v>5</v>
      </c>
      <c r="AK85" s="173" t="str">
        <f>IF(tblRisk[[#This Row],[Safeguard Status]]="In Place",tblRisk[[#This Row],[Safeguard Threat Cluster]],tblRisk[[#This Row],[Threat Cluster]])</f>
        <v>Malware</v>
      </c>
      <c r="AL85" s="164">
        <f>IF(tblRisk[[#This Row],[Safeguard Status]]="In Place",tblRisk[[#This Row],[Risk Level With Safeguard in Place]],tblRisk[[#This Row],[Risk Level]])</f>
        <v>2</v>
      </c>
      <c r="AM85" s="165" t="s">
        <v>1887</v>
      </c>
      <c r="AN85" s="165" t="str">
        <f>IF(tblRisk[[#This Row],[Risk Treatment Option]]="Manage",_xlfn.IFNA(INDEX(tblRiskTreatmentPrograms[#Data],MATCH(tblRisk[[#This Row],[Common Security Program]]&amp;tblRisk[[#This Row],[Common Security Control]],tblRiskTreatmentPrograms[Lookup],0),MATCH($AN$3,tblRiskTreatmentPrograms[#Headers],0)),txtBadRTP),"")</f>
        <v/>
      </c>
      <c r="AO85" s="165" t="str">
        <f>IF(tblRisk[[#This Row],[Risk Treatment Program]]="","",INDEX(tblRiskTreatmentPrograms[#Data],MATCH(tblRisk[[#This Row],[Risk Treatment Program]],tblRiskTreatmentPrograms[Risk Treatment Program],0),MATCH($AO$3,tblRiskTreatmentPrograms[#Headers],0)))</f>
        <v/>
      </c>
      <c r="AP85" s="165"/>
      <c r="AQ8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5" s="19" t="str">
        <f>tblRisk[[#This Row],[Threat Cluster]]</f>
        <v>Malware</v>
      </c>
      <c r="AS85" s="156">
        <f>IF(ISBLANK(tblRisk[[#This Row],[Safeguard Threat Cluster]]),"",_xlfn.XLOOKUP(tblRisk[[#This Row],[Safeguard Threat Cluster]],tblHIT[Threat Cluster],tblHIT[Quintile]))</f>
        <v>1</v>
      </c>
      <c r="AT85" s="157">
        <f>_xlfn.SWITCH(tblRisk[[#This Row],[Risk Treatment Option]],"Manage",tblRisk[[#This Row],[Control Maturity]]+1,tblRisk[[#This Row],[Control Maturity]])</f>
        <v>5</v>
      </c>
      <c r="AU85" s="158" t="str">
        <f>IF(OR(ISBLANK(tblRisk[[#This Row],[Safeguard HIT Quintile]]),ISBLANK(tblRisk[[#This Row],[Control Maturity after SG]])),"",_xlfn.XLOOKUP(tblRisk[[#This Row],[Control Maturity after SG]] &amp;tblRisk[[#This Row],[Safeguard HIT Quintile]],tblHITWDI[Lookup],tblHITWDI[Likelihood Description]))</f>
        <v>Not Foreseeable</v>
      </c>
      <c r="AV85" s="166">
        <f>IF(ISERROR(tblRisk[[#This Row],[Likelihood of Control Failure after SG]]),"",VLOOKUP(tblRisk[[#This Row],[Likelihood of Control Failure after SG]],tblLikelihood[#Data],2,FALSE))</f>
        <v>1</v>
      </c>
      <c r="AW85" s="159">
        <f>tblRisk[[#This Row],[Impact to Mission]]</f>
        <v>2</v>
      </c>
      <c r="AX85" s="159">
        <f>tblRisk[[#This Row],[Impact to Objectives]]</f>
        <v>2</v>
      </c>
      <c r="AY85" s="159">
        <f>tblRisk[[#This Row],[Impact to Obligations]]</f>
        <v>2</v>
      </c>
      <c r="AZ85" s="166">
        <f>IF(ISBLANK(tblRisk[[#This Row],[Impact to Mission With Safeguard in Place]]),"",MAX(tblRisk[[#This Row],[Impact to Mission With Safeguard in Place]:[Impact to Obligations With Safeguard in Place]]))</f>
        <v>2</v>
      </c>
      <c r="BA85" s="167">
        <f>IF(ISERROR(tblRisk[[#This Row],[Impact Score with Safeguard in Place]]*tblRisk[[#This Row],[Likelihood Score with Safeguard in Place]]),"",tblRisk[[#This Row],[Impact Score with Safeguard in Place]]*tblRisk[[#This Row],[Likelihood Score with Safeguard in Place]])</f>
        <v>2</v>
      </c>
      <c r="BB85" s="164">
        <f>tblRisk[[#This Row],[Risk Score With Safeguard in Place]]</f>
        <v>2</v>
      </c>
      <c r="BC85" s="168" t="str">
        <f>IF(tblRisk[[#This Row],[Risk Treatment Option]]&lt;&gt;"Accept",IF(_xlfn.XLOOKUP(tblRisk[[#This Row],[Specific Safeguard Recommendation]],ProTrak[Task],ProTrak[Status],"Not Found")="Completed","Pending Validation","Pending"),"")</f>
        <v/>
      </c>
      <c r="BD85" s="169" t="str">
        <f>_xlfn.XLOOKUP(tblRisk[[#This Row],[Risk Treatment Program]],tblRiskTreatmentPrograms[Risk Treatment Program],tblRiskTreatmentPrograms[Estimated End Date (MM/DD/YYYY)],"")</f>
        <v/>
      </c>
      <c r="BE85" s="170"/>
      <c r="BF85" s="171" t="str">
        <f>_xlfn.IFNA(IF(tblRisk[[#This Row],[Due Date]]&lt;=vWhatIfQuarter,"Closed",""),"")</f>
        <v/>
      </c>
      <c r="BG85" s="171">
        <f>IF(tblRisk[[#This Row],[Scenario Builder Status]]="Closed",tblRisk[[#This Row],[Risk Score With Safeguard in Place]],tblRisk[[#This Row],[Risk Score]])</f>
        <v>2</v>
      </c>
      <c r="BH85" s="192" t="str">
        <f>tblRisk[[#This Row],[Common Security Program]]&amp;tblRisk[[#This Row],[Common Security Control]]&amp;tblRisk[[#This Row],[Asset Designation ]]</f>
        <v>Vulnerability ManagementOperationDevices</v>
      </c>
      <c r="BI85" s="191"/>
      <c r="BJ85" s="191"/>
      <c r="BK85" s="191"/>
      <c r="BL85" s="191"/>
      <c r="BM85" s="191"/>
      <c r="BN85" s="191"/>
      <c r="BO85" s="191"/>
      <c r="BP85" s="191"/>
      <c r="BQ85" s="191"/>
    </row>
    <row r="86" spans="1:69" ht="299.25" x14ac:dyDescent="0.65">
      <c r="A86" s="160">
        <v>83</v>
      </c>
      <c r="B86" s="160" t="s">
        <v>899</v>
      </c>
      <c r="C86" s="19" t="s">
        <v>964</v>
      </c>
      <c r="D86" s="28" t="s">
        <v>1204</v>
      </c>
      <c r="E86" s="207" t="s">
        <v>1094</v>
      </c>
      <c r="F86" s="194"/>
      <c r="G86" s="194" t="s">
        <v>117</v>
      </c>
      <c r="H86" s="194" t="s">
        <v>117</v>
      </c>
      <c r="I86" s="194" t="s">
        <v>1081</v>
      </c>
      <c r="J86" s="194" t="s">
        <v>1081</v>
      </c>
      <c r="K86" s="194" t="s">
        <v>1081</v>
      </c>
      <c r="L86" s="194" t="s">
        <v>1081</v>
      </c>
      <c r="M86" s="194" t="s">
        <v>1081</v>
      </c>
      <c r="N86" s="194">
        <f>COUNTIF(tblRisk[[#This Row],[Defends Against Malware]:[Defends Against Targeted Intrusions]],"Yes")</f>
        <v>5</v>
      </c>
      <c r="O86" s="160" t="s">
        <v>22</v>
      </c>
      <c r="P86" s="160" t="s">
        <v>88</v>
      </c>
      <c r="Q86" s="160" t="s">
        <v>611</v>
      </c>
      <c r="R86" s="160" t="s">
        <v>1082</v>
      </c>
      <c r="S86" s="160" t="s">
        <v>1431</v>
      </c>
      <c r="T86" s="160" t="s">
        <v>1429</v>
      </c>
      <c r="U86" s="160" t="s">
        <v>1430</v>
      </c>
      <c r="V86" s="160" t="s">
        <v>1607</v>
      </c>
      <c r="W86" s="160" t="s">
        <v>1709</v>
      </c>
      <c r="X86" s="160" t="s">
        <v>1804</v>
      </c>
      <c r="Y86" s="151">
        <f>IF(ISBLANK(tblRisk[[#This Row],[Threat Cluster]]),"",_xlfn.XLOOKUP(tblRisk[[#This Row],[Threat Cluster]],tblHIT[Threat Cluster],tblHIT[Quintile]))</f>
        <v>3</v>
      </c>
      <c r="Z86" s="152">
        <v>5</v>
      </c>
      <c r="AA86" s="153" t="str">
        <f>IF(OR(ISBLANK(tblRisk[[#This Row],[HIT Quintile]]),ISBLANK(tblRisk[[#This Row],[Control Maturity]])),"",_xlfn.XLOOKUP(tblRisk[[#This Row],[Control Maturity]] &amp; tblRisk[[#This Row],[HIT Quintile]],tblHITWDI[Lookup],tblHITWDI[Likelihood Description]))</f>
        <v>Not Foreseeable</v>
      </c>
      <c r="AB86" s="161">
        <f>IF(ISERROR(tblRisk[[#This Row],[Likelihood of Control Failure]]),"",VLOOKUP(tblRisk[[#This Row],[Likelihood of Control Failure]],tblLikelihood[],2,FALSE))</f>
        <v>1</v>
      </c>
      <c r="AC86" s="154">
        <v>2</v>
      </c>
      <c r="AD86" s="155">
        <v>2</v>
      </c>
      <c r="AE86" s="155">
        <v>2</v>
      </c>
      <c r="AF86" s="162">
        <f>IF(ISBLANK(tblRisk[[#This Row],[Impact to Mission]]),"",MAX(tblRisk[[#This Row],[Impact to Mission]:[Impact to Obligations]]))</f>
        <v>2</v>
      </c>
      <c r="AG86" s="163">
        <f>IF(ISERROR(tblRisk[[#This Row],[Impact Score]]*tblRisk[[#This Row],[Likelihood Score]]),"",tblRisk[[#This Row],[Likelihood Score]]*tblRisk[[#This Row],[Impact Score]])</f>
        <v>2</v>
      </c>
      <c r="AH86" s="163">
        <f>tblRisk[[#This Row],[Risk Score]]</f>
        <v>2</v>
      </c>
      <c r="AI86" s="164">
        <f t="shared" si="2"/>
        <v>9</v>
      </c>
      <c r="AJ86" s="164">
        <f>IF(tblRisk[[#This Row],[Safeguard Status]]="In Place",tblRisk[[#This Row],[Control Maturity after SG]],tblRisk[[#This Row],[Control Maturity]])</f>
        <v>5</v>
      </c>
      <c r="AK86" s="173" t="str">
        <f>IF(tblRisk[[#This Row],[Safeguard Status]]="In Place",tblRisk[[#This Row],[Safeguard Threat Cluster]],tblRisk[[#This Row],[Threat Cluster]])</f>
        <v>Physical Facility</v>
      </c>
      <c r="AL86" s="164">
        <f>IF(tblRisk[[#This Row],[Safeguard Status]]="In Place",tblRisk[[#This Row],[Risk Level With Safeguard in Place]],tblRisk[[#This Row],[Risk Level]])</f>
        <v>2</v>
      </c>
      <c r="AM86" s="165" t="s">
        <v>1887</v>
      </c>
      <c r="AN86" s="165" t="str">
        <f>IF(tblRisk[[#This Row],[Risk Treatment Option]]="Manage",_xlfn.IFNA(INDEX(tblRiskTreatmentPrograms[#Data],MATCH(tblRisk[[#This Row],[Common Security Program]]&amp;tblRisk[[#This Row],[Common Security Control]],tblRiskTreatmentPrograms[Lookup],0),MATCH($AN$3,tblRiskTreatmentPrograms[#Headers],0)),txtBadRTP),"")</f>
        <v/>
      </c>
      <c r="AO86" s="165" t="str">
        <f>IF(tblRisk[[#This Row],[Risk Treatment Program]]="","",INDEX(tblRiskTreatmentPrograms[#Data],MATCH(tblRisk[[#This Row],[Risk Treatment Program]],tblRiskTreatmentPrograms[Risk Treatment Program],0),MATCH($AO$3,tblRiskTreatmentPrograms[#Headers],0)))</f>
        <v/>
      </c>
      <c r="AP86" s="165"/>
      <c r="AQ8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6" s="19" t="str">
        <f>tblRisk[[#This Row],[Threat Cluster]]</f>
        <v>Physical Facility</v>
      </c>
      <c r="AS86" s="156">
        <f>IF(ISBLANK(tblRisk[[#This Row],[Safeguard Threat Cluster]]),"",_xlfn.XLOOKUP(tblRisk[[#This Row],[Safeguard Threat Cluster]],tblHIT[Threat Cluster],tblHIT[Quintile]))</f>
        <v>3</v>
      </c>
      <c r="AT86" s="157">
        <f>_xlfn.SWITCH(tblRisk[[#This Row],[Risk Treatment Option]],"Manage",tblRisk[[#This Row],[Control Maturity]]+1,tblRisk[[#This Row],[Control Maturity]])</f>
        <v>5</v>
      </c>
      <c r="AU86" s="158" t="str">
        <f>IF(OR(ISBLANK(tblRisk[[#This Row],[Safeguard HIT Quintile]]),ISBLANK(tblRisk[[#This Row],[Control Maturity after SG]])),"",_xlfn.XLOOKUP(tblRisk[[#This Row],[Control Maturity after SG]] &amp;tblRisk[[#This Row],[Safeguard HIT Quintile]],tblHITWDI[Lookup],tblHITWDI[Likelihood Description]))</f>
        <v>Not Foreseeable</v>
      </c>
      <c r="AV86" s="166">
        <f>IF(ISERROR(tblRisk[[#This Row],[Likelihood of Control Failure after SG]]),"",VLOOKUP(tblRisk[[#This Row],[Likelihood of Control Failure after SG]],tblLikelihood[#Data],2,FALSE))</f>
        <v>1</v>
      </c>
      <c r="AW86" s="159">
        <f>tblRisk[[#This Row],[Impact to Mission]]</f>
        <v>2</v>
      </c>
      <c r="AX86" s="159">
        <f>tblRisk[[#This Row],[Impact to Objectives]]</f>
        <v>2</v>
      </c>
      <c r="AY86" s="159">
        <f>tblRisk[[#This Row],[Impact to Obligations]]</f>
        <v>2</v>
      </c>
      <c r="AZ86" s="166">
        <f>IF(ISBLANK(tblRisk[[#This Row],[Impact to Mission With Safeguard in Place]]),"",MAX(tblRisk[[#This Row],[Impact to Mission With Safeguard in Place]:[Impact to Obligations With Safeguard in Place]]))</f>
        <v>2</v>
      </c>
      <c r="BA86" s="167">
        <f>IF(ISERROR(tblRisk[[#This Row],[Impact Score with Safeguard in Place]]*tblRisk[[#This Row],[Likelihood Score with Safeguard in Place]]),"",tblRisk[[#This Row],[Impact Score with Safeguard in Place]]*tblRisk[[#This Row],[Likelihood Score with Safeguard in Place]])</f>
        <v>2</v>
      </c>
      <c r="BB86" s="164">
        <f>tblRisk[[#This Row],[Risk Score With Safeguard in Place]]</f>
        <v>2</v>
      </c>
      <c r="BC86" s="168" t="str">
        <f>IF(tblRisk[[#This Row],[Risk Treatment Option]]&lt;&gt;"Accept",IF(_xlfn.XLOOKUP(tblRisk[[#This Row],[Specific Safeguard Recommendation]],ProTrak[Task],ProTrak[Status],"Not Found")="Completed","Pending Validation","Pending"),"")</f>
        <v/>
      </c>
      <c r="BD86" s="169" t="str">
        <f>_xlfn.XLOOKUP(tblRisk[[#This Row],[Risk Treatment Program]],tblRiskTreatmentPrograms[Risk Treatment Program],tblRiskTreatmentPrograms[Estimated End Date (MM/DD/YYYY)],"")</f>
        <v/>
      </c>
      <c r="BE86" s="170"/>
      <c r="BF86" s="171" t="str">
        <f>_xlfn.IFNA(IF(tblRisk[[#This Row],[Due Date]]&lt;=vWhatIfQuarter,"Closed",""),"")</f>
        <v/>
      </c>
      <c r="BG86" s="171">
        <f>IF(tblRisk[[#This Row],[Scenario Builder Status]]="Closed",tblRisk[[#This Row],[Risk Score With Safeguard in Place]],tblRisk[[#This Row],[Risk Score]])</f>
        <v>2</v>
      </c>
      <c r="BH86" s="192" t="str">
        <f>tblRisk[[#This Row],[Common Security Program]]&amp;tblRisk[[#This Row],[Common Security Control]]&amp;tblRisk[[#This Row],[Asset Designation ]]</f>
        <v>Vulnerability ManagementOperationDevices</v>
      </c>
      <c r="BI86" s="191"/>
      <c r="BJ86" s="191"/>
      <c r="BK86" s="191"/>
      <c r="BL86" s="191" t="s">
        <v>117</v>
      </c>
      <c r="BM86" s="191"/>
      <c r="BN86" s="191"/>
      <c r="BO86" s="191" t="s">
        <v>117</v>
      </c>
      <c r="BP86" s="191" t="s">
        <v>117</v>
      </c>
      <c r="BQ86" s="191"/>
    </row>
    <row r="87" spans="1:69" ht="299.25" x14ac:dyDescent="0.65">
      <c r="A87" s="160">
        <v>84</v>
      </c>
      <c r="B87" s="160" t="s">
        <v>899</v>
      </c>
      <c r="C87" s="19" t="s">
        <v>965</v>
      </c>
      <c r="D87" s="28" t="s">
        <v>1205</v>
      </c>
      <c r="E87" s="207" t="s">
        <v>1092</v>
      </c>
      <c r="F87" s="194"/>
      <c r="G87" s="194" t="s">
        <v>117</v>
      </c>
      <c r="H87" s="194" t="s">
        <v>117</v>
      </c>
      <c r="I87" s="194" t="s">
        <v>1080</v>
      </c>
      <c r="J87" s="194" t="s">
        <v>1080</v>
      </c>
      <c r="K87" s="194" t="s">
        <v>1080</v>
      </c>
      <c r="L87" s="194" t="s">
        <v>1080</v>
      </c>
      <c r="M87" s="194" t="s">
        <v>1080</v>
      </c>
      <c r="N87" s="194">
        <f>COUNTIF(tblRisk[[#This Row],[Defends Against Malware]:[Defends Against Targeted Intrusions]],"Yes")</f>
        <v>0</v>
      </c>
      <c r="O87" s="160" t="s">
        <v>22</v>
      </c>
      <c r="P87" s="160" t="s">
        <v>88</v>
      </c>
      <c r="Q87" s="160" t="s">
        <v>32</v>
      </c>
      <c r="R87" s="160" t="s">
        <v>1082</v>
      </c>
      <c r="S87" s="160" t="s">
        <v>1431</v>
      </c>
      <c r="T87" s="160" t="s">
        <v>1429</v>
      </c>
      <c r="U87" s="160" t="s">
        <v>1430</v>
      </c>
      <c r="V87" s="160" t="s">
        <v>1608</v>
      </c>
      <c r="W87" s="160" t="s">
        <v>1709</v>
      </c>
      <c r="X87" s="160" t="s">
        <v>1805</v>
      </c>
      <c r="Y87" s="151">
        <f>IF(ISBLANK(tblRisk[[#This Row],[Threat Cluster]]),"",_xlfn.XLOOKUP(tblRisk[[#This Row],[Threat Cluster]],tblHIT[Threat Cluster],tblHIT[Quintile]))</f>
        <v>1</v>
      </c>
      <c r="Z87" s="152">
        <v>4</v>
      </c>
      <c r="AA87" s="153" t="str">
        <f>IF(OR(ISBLANK(tblRisk[[#This Row],[HIT Quintile]]),ISBLANK(tblRisk[[#This Row],[Control Maturity]])),"",_xlfn.XLOOKUP(tblRisk[[#This Row],[Control Maturity]] &amp; tblRisk[[#This Row],[HIT Quintile]],tblHITWDI[Lookup],tblHITWDI[Likelihood Description]))</f>
        <v>Not Foreseeable</v>
      </c>
      <c r="AB87" s="161">
        <f>IF(ISERROR(tblRisk[[#This Row],[Likelihood of Control Failure]]),"",VLOOKUP(tblRisk[[#This Row],[Likelihood of Control Failure]],tblLikelihood[],2,FALSE))</f>
        <v>1</v>
      </c>
      <c r="AC87" s="154">
        <v>2</v>
      </c>
      <c r="AD87" s="155">
        <v>2</v>
      </c>
      <c r="AE87" s="155">
        <v>2</v>
      </c>
      <c r="AF87" s="162">
        <f>IF(ISBLANK(tblRisk[[#This Row],[Impact to Mission]]),"",MAX(tblRisk[[#This Row],[Impact to Mission]:[Impact to Obligations]]))</f>
        <v>2</v>
      </c>
      <c r="AG87" s="163">
        <f>IF(ISERROR(tblRisk[[#This Row],[Impact Score]]*tblRisk[[#This Row],[Likelihood Score]]),"",tblRisk[[#This Row],[Likelihood Score]]*tblRisk[[#This Row],[Impact Score]])</f>
        <v>2</v>
      </c>
      <c r="AH87" s="163">
        <f>tblRisk[[#This Row],[Risk Score]]</f>
        <v>2</v>
      </c>
      <c r="AI87" s="164">
        <f t="shared" si="2"/>
        <v>9</v>
      </c>
      <c r="AJ87" s="164">
        <f>IF(tblRisk[[#This Row],[Safeguard Status]]="In Place",tblRisk[[#This Row],[Control Maturity after SG]],tblRisk[[#This Row],[Control Maturity]])</f>
        <v>4</v>
      </c>
      <c r="AK87" s="173" t="str">
        <f>IF(tblRisk[[#This Row],[Safeguard Status]]="In Place",tblRisk[[#This Row],[Safeguard Threat Cluster]],tblRisk[[#This Row],[Threat Cluster]])</f>
        <v>Malware</v>
      </c>
      <c r="AL87" s="164">
        <f>IF(tblRisk[[#This Row],[Safeguard Status]]="In Place",tblRisk[[#This Row],[Risk Level With Safeguard in Place]],tblRisk[[#This Row],[Risk Level]])</f>
        <v>2</v>
      </c>
      <c r="AM87" s="165" t="s">
        <v>1887</v>
      </c>
      <c r="AN87" s="165" t="str">
        <f>IF(tblRisk[[#This Row],[Risk Treatment Option]]="Manage",_xlfn.IFNA(INDEX(tblRiskTreatmentPrograms[#Data],MATCH(tblRisk[[#This Row],[Common Security Program]]&amp;tblRisk[[#This Row],[Common Security Control]],tblRiskTreatmentPrograms[Lookup],0),MATCH($AN$3,tblRiskTreatmentPrograms[#Headers],0)),txtBadRTP),"")</f>
        <v/>
      </c>
      <c r="AO87" s="165" t="str">
        <f>IF(tblRisk[[#This Row],[Risk Treatment Program]]="","",INDEX(tblRiskTreatmentPrograms[#Data],MATCH(tblRisk[[#This Row],[Risk Treatment Program]],tblRiskTreatmentPrograms[Risk Treatment Program],0),MATCH($AO$3,tblRiskTreatmentPrograms[#Headers],0)))</f>
        <v/>
      </c>
      <c r="AP87" s="165"/>
      <c r="AQ8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7" s="19" t="str">
        <f>tblRisk[[#This Row],[Threat Cluster]]</f>
        <v>Malware</v>
      </c>
      <c r="AS87" s="156">
        <f>IF(ISBLANK(tblRisk[[#This Row],[Safeguard Threat Cluster]]),"",_xlfn.XLOOKUP(tblRisk[[#This Row],[Safeguard Threat Cluster]],tblHIT[Threat Cluster],tblHIT[Quintile]))</f>
        <v>1</v>
      </c>
      <c r="AT87" s="157">
        <f>_xlfn.SWITCH(tblRisk[[#This Row],[Risk Treatment Option]],"Manage",tblRisk[[#This Row],[Control Maturity]]+1,tblRisk[[#This Row],[Control Maturity]])</f>
        <v>4</v>
      </c>
      <c r="AU87" s="158" t="str">
        <f>IF(OR(ISBLANK(tblRisk[[#This Row],[Safeguard HIT Quintile]]),ISBLANK(tblRisk[[#This Row],[Control Maturity after SG]])),"",_xlfn.XLOOKUP(tblRisk[[#This Row],[Control Maturity after SG]] &amp;tblRisk[[#This Row],[Safeguard HIT Quintile]],tblHITWDI[Lookup],tblHITWDI[Likelihood Description]))</f>
        <v>Not Foreseeable</v>
      </c>
      <c r="AV87" s="166">
        <f>IF(ISERROR(tblRisk[[#This Row],[Likelihood of Control Failure after SG]]),"",VLOOKUP(tblRisk[[#This Row],[Likelihood of Control Failure after SG]],tblLikelihood[#Data],2,FALSE))</f>
        <v>1</v>
      </c>
      <c r="AW87" s="159">
        <f>tblRisk[[#This Row],[Impact to Mission]]</f>
        <v>2</v>
      </c>
      <c r="AX87" s="159">
        <f>tblRisk[[#This Row],[Impact to Objectives]]</f>
        <v>2</v>
      </c>
      <c r="AY87" s="159">
        <f>tblRisk[[#This Row],[Impact to Obligations]]</f>
        <v>2</v>
      </c>
      <c r="AZ87" s="166">
        <f>IF(ISBLANK(tblRisk[[#This Row],[Impact to Mission With Safeguard in Place]]),"",MAX(tblRisk[[#This Row],[Impact to Mission With Safeguard in Place]:[Impact to Obligations With Safeguard in Place]]))</f>
        <v>2</v>
      </c>
      <c r="BA87" s="167">
        <f>IF(ISERROR(tblRisk[[#This Row],[Impact Score with Safeguard in Place]]*tblRisk[[#This Row],[Likelihood Score with Safeguard in Place]]),"",tblRisk[[#This Row],[Impact Score with Safeguard in Place]]*tblRisk[[#This Row],[Likelihood Score with Safeguard in Place]])</f>
        <v>2</v>
      </c>
      <c r="BB87" s="164">
        <f>tblRisk[[#This Row],[Risk Score With Safeguard in Place]]</f>
        <v>2</v>
      </c>
      <c r="BC87" s="168" t="str">
        <f>IF(tblRisk[[#This Row],[Risk Treatment Option]]&lt;&gt;"Accept",IF(_xlfn.XLOOKUP(tblRisk[[#This Row],[Specific Safeguard Recommendation]],ProTrak[Task],ProTrak[Status],"Not Found")="Completed","Pending Validation","Pending"),"")</f>
        <v/>
      </c>
      <c r="BD87" s="169" t="str">
        <f>_xlfn.XLOOKUP(tblRisk[[#This Row],[Risk Treatment Program]],tblRiskTreatmentPrograms[Risk Treatment Program],tblRiskTreatmentPrograms[Estimated End Date (MM/DD/YYYY)],"")</f>
        <v/>
      </c>
      <c r="BE87" s="170"/>
      <c r="BF87" s="171" t="str">
        <f>_xlfn.IFNA(IF(tblRisk[[#This Row],[Due Date]]&lt;=vWhatIfQuarter,"Closed",""),"")</f>
        <v/>
      </c>
      <c r="BG87" s="171">
        <f>IF(tblRisk[[#This Row],[Scenario Builder Status]]="Closed",tblRisk[[#This Row],[Risk Score With Safeguard in Place]],tblRisk[[#This Row],[Risk Score]])</f>
        <v>2</v>
      </c>
      <c r="BH87" s="192" t="str">
        <f>tblRisk[[#This Row],[Common Security Program]]&amp;tblRisk[[#This Row],[Common Security Control]]&amp;tblRisk[[#This Row],[Asset Designation ]]</f>
        <v>Vulnerability ManagementOperationDevices</v>
      </c>
      <c r="BI87" s="191"/>
      <c r="BJ87" s="191"/>
      <c r="BK87" s="191"/>
      <c r="BL87" s="191"/>
      <c r="BM87" s="191"/>
      <c r="BN87" s="191"/>
      <c r="BO87" s="191"/>
      <c r="BP87" s="191"/>
      <c r="BQ87" s="191"/>
    </row>
    <row r="88" spans="1:69" ht="299.25" x14ac:dyDescent="0.65">
      <c r="A88" s="160">
        <v>85</v>
      </c>
      <c r="B88" s="160" t="s">
        <v>899</v>
      </c>
      <c r="C88" s="19" t="s">
        <v>966</v>
      </c>
      <c r="D88" s="28" t="s">
        <v>1206</v>
      </c>
      <c r="E88" s="207" t="s">
        <v>1094</v>
      </c>
      <c r="F88" s="194"/>
      <c r="G88" s="194" t="s">
        <v>117</v>
      </c>
      <c r="H88" s="194" t="s">
        <v>117</v>
      </c>
      <c r="I88" s="194" t="s">
        <v>1081</v>
      </c>
      <c r="J88" s="194" t="s">
        <v>1081</v>
      </c>
      <c r="K88" s="194" t="s">
        <v>1081</v>
      </c>
      <c r="L88" s="194" t="s">
        <v>1081</v>
      </c>
      <c r="M88" s="194" t="s">
        <v>1081</v>
      </c>
      <c r="N88" s="194">
        <f>COUNTIF(tblRisk[[#This Row],[Defends Against Malware]:[Defends Against Targeted Intrusions]],"Yes")</f>
        <v>5</v>
      </c>
      <c r="O88" s="160" t="s">
        <v>22</v>
      </c>
      <c r="P88" s="160" t="s">
        <v>88</v>
      </c>
      <c r="Q88" s="160" t="s">
        <v>32</v>
      </c>
      <c r="R88" s="160" t="s">
        <v>1082</v>
      </c>
      <c r="S88" s="160" t="s">
        <v>1431</v>
      </c>
      <c r="T88" s="160" t="s">
        <v>1429</v>
      </c>
      <c r="U88" s="160" t="s">
        <v>1430</v>
      </c>
      <c r="V88" s="160" t="s">
        <v>1609</v>
      </c>
      <c r="W88" s="160" t="s">
        <v>1709</v>
      </c>
      <c r="X88" s="160" t="s">
        <v>1806</v>
      </c>
      <c r="Y88" s="151">
        <f>IF(ISBLANK(tblRisk[[#This Row],[Threat Cluster]]),"",_xlfn.XLOOKUP(tblRisk[[#This Row],[Threat Cluster]],tblHIT[Threat Cluster],tblHIT[Quintile]))</f>
        <v>1</v>
      </c>
      <c r="Z88" s="152">
        <v>5</v>
      </c>
      <c r="AA88" s="153" t="str">
        <f>IF(OR(ISBLANK(tblRisk[[#This Row],[HIT Quintile]]),ISBLANK(tblRisk[[#This Row],[Control Maturity]])),"",_xlfn.XLOOKUP(tblRisk[[#This Row],[Control Maturity]] &amp; tblRisk[[#This Row],[HIT Quintile]],tblHITWDI[Lookup],tblHITWDI[Likelihood Description]))</f>
        <v>Not Foreseeable</v>
      </c>
      <c r="AB88" s="161">
        <f>IF(ISERROR(tblRisk[[#This Row],[Likelihood of Control Failure]]),"",VLOOKUP(tblRisk[[#This Row],[Likelihood of Control Failure]],tblLikelihood[],2,FALSE))</f>
        <v>1</v>
      </c>
      <c r="AC88" s="154">
        <v>2</v>
      </c>
      <c r="AD88" s="155">
        <v>2</v>
      </c>
      <c r="AE88" s="155">
        <v>3</v>
      </c>
      <c r="AF88" s="162">
        <f>IF(ISBLANK(tblRisk[[#This Row],[Impact to Mission]]),"",MAX(tblRisk[[#This Row],[Impact to Mission]:[Impact to Obligations]]))</f>
        <v>3</v>
      </c>
      <c r="AG88" s="163">
        <f>IF(ISERROR(tblRisk[[#This Row],[Impact Score]]*tblRisk[[#This Row],[Likelihood Score]]),"",tblRisk[[#This Row],[Likelihood Score]]*tblRisk[[#This Row],[Impact Score]])</f>
        <v>3</v>
      </c>
      <c r="AH88" s="163">
        <f>tblRisk[[#This Row],[Risk Score]]</f>
        <v>3</v>
      </c>
      <c r="AI88" s="164">
        <f t="shared" si="2"/>
        <v>9</v>
      </c>
      <c r="AJ88" s="164">
        <f>IF(tblRisk[[#This Row],[Safeguard Status]]="In Place",tblRisk[[#This Row],[Control Maturity after SG]],tblRisk[[#This Row],[Control Maturity]])</f>
        <v>5</v>
      </c>
      <c r="AK88" s="173" t="str">
        <f>IF(tblRisk[[#This Row],[Safeguard Status]]="In Place",tblRisk[[#This Row],[Safeguard Threat Cluster]],tblRisk[[#This Row],[Threat Cluster]])</f>
        <v>Malware</v>
      </c>
      <c r="AL88" s="164">
        <f>IF(tblRisk[[#This Row],[Safeguard Status]]="In Place",tblRisk[[#This Row],[Risk Level With Safeguard in Place]],tblRisk[[#This Row],[Risk Level]])</f>
        <v>3</v>
      </c>
      <c r="AM88" s="165" t="s">
        <v>1887</v>
      </c>
      <c r="AN88" s="165" t="str">
        <f>IF(tblRisk[[#This Row],[Risk Treatment Option]]="Manage",_xlfn.IFNA(INDEX(tblRiskTreatmentPrograms[#Data],MATCH(tblRisk[[#This Row],[Common Security Program]]&amp;tblRisk[[#This Row],[Common Security Control]],tblRiskTreatmentPrograms[Lookup],0),MATCH($AN$3,tblRiskTreatmentPrograms[#Headers],0)),txtBadRTP),"")</f>
        <v/>
      </c>
      <c r="AO88" s="165" t="str">
        <f>IF(tblRisk[[#This Row],[Risk Treatment Program]]="","",INDEX(tblRiskTreatmentPrograms[#Data],MATCH(tblRisk[[#This Row],[Risk Treatment Program]],tblRiskTreatmentPrograms[Risk Treatment Program],0),MATCH($AO$3,tblRiskTreatmentPrograms[#Headers],0)))</f>
        <v/>
      </c>
      <c r="AP88" s="165"/>
      <c r="AQ8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8" s="19" t="str">
        <f>tblRisk[[#This Row],[Threat Cluster]]</f>
        <v>Malware</v>
      </c>
      <c r="AS88" s="156">
        <f>IF(ISBLANK(tblRisk[[#This Row],[Safeguard Threat Cluster]]),"",_xlfn.XLOOKUP(tblRisk[[#This Row],[Safeguard Threat Cluster]],tblHIT[Threat Cluster],tblHIT[Quintile]))</f>
        <v>1</v>
      </c>
      <c r="AT88" s="157">
        <f>_xlfn.SWITCH(tblRisk[[#This Row],[Risk Treatment Option]],"Manage",tblRisk[[#This Row],[Control Maturity]]+1,tblRisk[[#This Row],[Control Maturity]])</f>
        <v>5</v>
      </c>
      <c r="AU88" s="158" t="str">
        <f>IF(OR(ISBLANK(tblRisk[[#This Row],[Safeguard HIT Quintile]]),ISBLANK(tblRisk[[#This Row],[Control Maturity after SG]])),"",_xlfn.XLOOKUP(tblRisk[[#This Row],[Control Maturity after SG]] &amp;tblRisk[[#This Row],[Safeguard HIT Quintile]],tblHITWDI[Lookup],tblHITWDI[Likelihood Description]))</f>
        <v>Not Foreseeable</v>
      </c>
      <c r="AV88" s="166">
        <f>IF(ISERROR(tblRisk[[#This Row],[Likelihood of Control Failure after SG]]),"",VLOOKUP(tblRisk[[#This Row],[Likelihood of Control Failure after SG]],tblLikelihood[#Data],2,FALSE))</f>
        <v>1</v>
      </c>
      <c r="AW88" s="159">
        <f>tblRisk[[#This Row],[Impact to Mission]]</f>
        <v>2</v>
      </c>
      <c r="AX88" s="159">
        <f>tblRisk[[#This Row],[Impact to Objectives]]</f>
        <v>2</v>
      </c>
      <c r="AY88" s="159">
        <f>tblRisk[[#This Row],[Impact to Obligations]]</f>
        <v>3</v>
      </c>
      <c r="AZ88" s="166">
        <f>IF(ISBLANK(tblRisk[[#This Row],[Impact to Mission With Safeguard in Place]]),"",MAX(tblRisk[[#This Row],[Impact to Mission With Safeguard in Place]:[Impact to Obligations With Safeguard in Place]]))</f>
        <v>3</v>
      </c>
      <c r="BA88" s="167">
        <f>IF(ISERROR(tblRisk[[#This Row],[Impact Score with Safeguard in Place]]*tblRisk[[#This Row],[Likelihood Score with Safeguard in Place]]),"",tblRisk[[#This Row],[Impact Score with Safeguard in Place]]*tblRisk[[#This Row],[Likelihood Score with Safeguard in Place]])</f>
        <v>3</v>
      </c>
      <c r="BB88" s="164">
        <f>tblRisk[[#This Row],[Risk Score With Safeguard in Place]]</f>
        <v>3</v>
      </c>
      <c r="BC88" s="168" t="str">
        <f>IF(tblRisk[[#This Row],[Risk Treatment Option]]&lt;&gt;"Accept",IF(_xlfn.XLOOKUP(tblRisk[[#This Row],[Specific Safeguard Recommendation]],ProTrak[Task],ProTrak[Status],"Not Found")="Completed","Pending Validation","Pending"),"")</f>
        <v/>
      </c>
      <c r="BD88" s="169" t="str">
        <f>_xlfn.XLOOKUP(tblRisk[[#This Row],[Risk Treatment Program]],tblRiskTreatmentPrograms[Risk Treatment Program],tblRiskTreatmentPrograms[Estimated End Date (MM/DD/YYYY)],"")</f>
        <v/>
      </c>
      <c r="BE88" s="170"/>
      <c r="BF88" s="171" t="str">
        <f>_xlfn.IFNA(IF(tblRisk[[#This Row],[Due Date]]&lt;=vWhatIfQuarter,"Closed",""),"")</f>
        <v/>
      </c>
      <c r="BG88" s="171">
        <f>IF(tblRisk[[#This Row],[Scenario Builder Status]]="Closed",tblRisk[[#This Row],[Risk Score With Safeguard in Place]],tblRisk[[#This Row],[Risk Score]])</f>
        <v>3</v>
      </c>
      <c r="BH88" s="192" t="str">
        <f>tblRisk[[#This Row],[Common Security Program]]&amp;tblRisk[[#This Row],[Common Security Control]]&amp;tblRisk[[#This Row],[Asset Designation ]]</f>
        <v>Vulnerability ManagementOperationDevices</v>
      </c>
      <c r="BI88" s="191"/>
      <c r="BJ88" s="191"/>
      <c r="BK88" s="191"/>
      <c r="BL88" s="191" t="s">
        <v>117</v>
      </c>
      <c r="BM88" s="191"/>
      <c r="BN88" s="191"/>
      <c r="BO88" s="191" t="s">
        <v>117</v>
      </c>
      <c r="BP88" s="191" t="s">
        <v>117</v>
      </c>
      <c r="BQ88" s="191" t="s">
        <v>117</v>
      </c>
    </row>
    <row r="89" spans="1:69" ht="78.75" x14ac:dyDescent="0.65">
      <c r="A89" s="160">
        <v>86</v>
      </c>
      <c r="B89" s="160" t="s">
        <v>899</v>
      </c>
      <c r="C89" s="19" t="s">
        <v>1034</v>
      </c>
      <c r="D89" s="28" t="s">
        <v>1207</v>
      </c>
      <c r="E89" s="208" t="s">
        <v>1097</v>
      </c>
      <c r="F89" s="194" t="s">
        <v>117</v>
      </c>
      <c r="G89" s="194" t="s">
        <v>117</v>
      </c>
      <c r="H89" s="194" t="s">
        <v>117</v>
      </c>
      <c r="I89" s="194" t="s">
        <v>1081</v>
      </c>
      <c r="J89" s="194" t="s">
        <v>1081</v>
      </c>
      <c r="K89" s="194" t="s">
        <v>1080</v>
      </c>
      <c r="L89" s="194" t="s">
        <v>1081</v>
      </c>
      <c r="M89" s="194" t="s">
        <v>1081</v>
      </c>
      <c r="N89" s="194">
        <f>COUNTIF(tblRisk[[#This Row],[Defends Against Malware]:[Defends Against Targeted Intrusions]],"Yes")</f>
        <v>4</v>
      </c>
      <c r="O89" s="160" t="s">
        <v>14</v>
      </c>
      <c r="P89" s="160" t="s">
        <v>86</v>
      </c>
      <c r="Q89" s="160" t="s">
        <v>37</v>
      </c>
      <c r="R89" s="160" t="s">
        <v>1084</v>
      </c>
      <c r="S89" s="160" t="s">
        <v>1402</v>
      </c>
      <c r="T89" s="160" t="s">
        <v>1400</v>
      </c>
      <c r="U89" s="160" t="s">
        <v>1401</v>
      </c>
      <c r="V89" s="19" t="s">
        <v>1656</v>
      </c>
      <c r="W89" s="160" t="s">
        <v>1709</v>
      </c>
      <c r="X89" s="160" t="s">
        <v>1807</v>
      </c>
      <c r="Y89" s="151">
        <f>IF(ISBLANK(tblRisk[[#This Row],[Threat Cluster]]),"",_xlfn.XLOOKUP(tblRisk[[#This Row],[Threat Cluster]],tblHIT[Threat Cluster],tblHIT[Quintile]))</f>
        <v>1</v>
      </c>
      <c r="Z89" s="152">
        <v>4</v>
      </c>
      <c r="AA89" s="153" t="str">
        <f>IF(OR(ISBLANK(tblRisk[[#This Row],[HIT Quintile]]),ISBLANK(tblRisk[[#This Row],[Control Maturity]])),"",_xlfn.XLOOKUP(tblRisk[[#This Row],[Control Maturity]] &amp; tblRisk[[#This Row],[HIT Quintile]],tblHITWDI[Lookup],tblHITWDI[Likelihood Description]))</f>
        <v>Not Foreseeable</v>
      </c>
      <c r="AB89" s="161">
        <f>IF(ISERROR(tblRisk[[#This Row],[Likelihood of Control Failure]]),"",VLOOKUP(tblRisk[[#This Row],[Likelihood of Control Failure]],tblLikelihood[],2,FALSE))</f>
        <v>1</v>
      </c>
      <c r="AC89" s="154">
        <v>2</v>
      </c>
      <c r="AD89" s="155">
        <v>2</v>
      </c>
      <c r="AE89" s="155">
        <v>3</v>
      </c>
      <c r="AF89" s="162">
        <f>IF(ISBLANK(tblRisk[[#This Row],[Impact to Mission]]),"",MAX(tblRisk[[#This Row],[Impact to Mission]:[Impact to Obligations]]))</f>
        <v>3</v>
      </c>
      <c r="AG89" s="163">
        <f>IF(ISERROR(tblRisk[[#This Row],[Impact Score]]*tblRisk[[#This Row],[Likelihood Score]]),"",tblRisk[[#This Row],[Likelihood Score]]*tblRisk[[#This Row],[Impact Score]])</f>
        <v>3</v>
      </c>
      <c r="AH89" s="163">
        <f>tblRisk[[#This Row],[Risk Score]]</f>
        <v>3</v>
      </c>
      <c r="AI89" s="164">
        <f t="shared" si="2"/>
        <v>9</v>
      </c>
      <c r="AJ89" s="164">
        <f>IF(tblRisk[[#This Row],[Safeguard Status]]="In Place",tblRisk[[#This Row],[Control Maturity after SG]],tblRisk[[#This Row],[Control Maturity]])</f>
        <v>4</v>
      </c>
      <c r="AK89" s="173" t="str">
        <f>IF(tblRisk[[#This Row],[Safeguard Status]]="In Place",tblRisk[[#This Row],[Safeguard Threat Cluster]],tblRisk[[#This Row],[Threat Cluster]])</f>
        <v>System Failure</v>
      </c>
      <c r="AL89" s="164">
        <f>IF(tblRisk[[#This Row],[Safeguard Status]]="In Place",tblRisk[[#This Row],[Risk Level With Safeguard in Place]],tblRisk[[#This Row],[Risk Level]])</f>
        <v>3</v>
      </c>
      <c r="AM89" s="165" t="s">
        <v>1887</v>
      </c>
      <c r="AN89" s="165" t="str">
        <f>IF(tblRisk[[#This Row],[Risk Treatment Option]]="Manage",_xlfn.IFNA(INDEX(tblRiskTreatmentPrograms[#Data],MATCH(tblRisk[[#This Row],[Common Security Program]]&amp;tblRisk[[#This Row],[Common Security Control]],tblRiskTreatmentPrograms[Lookup],0),MATCH($AN$3,tblRiskTreatmentPrograms[#Headers],0)),txtBadRTP),"")</f>
        <v/>
      </c>
      <c r="AO89" s="165" t="str">
        <f>IF(tblRisk[[#This Row],[Risk Treatment Program]]="","",INDEX(tblRiskTreatmentPrograms[#Data],MATCH(tblRisk[[#This Row],[Risk Treatment Program]],tblRiskTreatmentPrograms[Risk Treatment Program],0),MATCH($AO$3,tblRiskTreatmentPrograms[#Headers],0)))</f>
        <v/>
      </c>
      <c r="AP89" s="165"/>
      <c r="AQ8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89" s="19" t="str">
        <f>tblRisk[[#This Row],[Threat Cluster]]</f>
        <v>System Failure</v>
      </c>
      <c r="AS89" s="156">
        <f>IF(ISBLANK(tblRisk[[#This Row],[Safeguard Threat Cluster]]),"",_xlfn.XLOOKUP(tblRisk[[#This Row],[Safeguard Threat Cluster]],tblHIT[Threat Cluster],tblHIT[Quintile]))</f>
        <v>1</v>
      </c>
      <c r="AT89" s="157">
        <f>_xlfn.SWITCH(tblRisk[[#This Row],[Risk Treatment Option]],"Manage",tblRisk[[#This Row],[Control Maturity]]+1,tblRisk[[#This Row],[Control Maturity]])</f>
        <v>4</v>
      </c>
      <c r="AU89" s="158" t="str">
        <f>IF(OR(ISBLANK(tblRisk[[#This Row],[Safeguard HIT Quintile]]),ISBLANK(tblRisk[[#This Row],[Control Maturity after SG]])),"",_xlfn.XLOOKUP(tblRisk[[#This Row],[Control Maturity after SG]] &amp;tblRisk[[#This Row],[Safeguard HIT Quintile]],tblHITWDI[Lookup],tblHITWDI[Likelihood Description]))</f>
        <v>Not Foreseeable</v>
      </c>
      <c r="AV89" s="166">
        <f>IF(ISERROR(tblRisk[[#This Row],[Likelihood of Control Failure after SG]]),"",VLOOKUP(tblRisk[[#This Row],[Likelihood of Control Failure after SG]],tblLikelihood[#Data],2,FALSE))</f>
        <v>1</v>
      </c>
      <c r="AW89" s="159">
        <f>tblRisk[[#This Row],[Impact to Mission]]</f>
        <v>2</v>
      </c>
      <c r="AX89" s="159">
        <f>tblRisk[[#This Row],[Impact to Objectives]]</f>
        <v>2</v>
      </c>
      <c r="AY89" s="159">
        <f>tblRisk[[#This Row],[Impact to Obligations]]</f>
        <v>3</v>
      </c>
      <c r="AZ89" s="166">
        <f>IF(ISBLANK(tblRisk[[#This Row],[Impact to Mission With Safeguard in Place]]),"",MAX(tblRisk[[#This Row],[Impact to Mission With Safeguard in Place]:[Impact to Obligations With Safeguard in Place]]))</f>
        <v>3</v>
      </c>
      <c r="BA89" s="167">
        <f>IF(ISERROR(tblRisk[[#This Row],[Impact Score with Safeguard in Place]]*tblRisk[[#This Row],[Likelihood Score with Safeguard in Place]]),"",tblRisk[[#This Row],[Impact Score with Safeguard in Place]]*tblRisk[[#This Row],[Likelihood Score with Safeguard in Place]])</f>
        <v>3</v>
      </c>
      <c r="BB89" s="164">
        <f>tblRisk[[#This Row],[Risk Score With Safeguard in Place]]</f>
        <v>3</v>
      </c>
      <c r="BC89" s="168" t="str">
        <f>IF(tblRisk[[#This Row],[Risk Treatment Option]]&lt;&gt;"Accept",IF(_xlfn.XLOOKUP(tblRisk[[#This Row],[Specific Safeguard Recommendation]],ProTrak[Task],ProTrak[Status],"Not Found")="Completed","Pending Validation","Pending"),"")</f>
        <v/>
      </c>
      <c r="BD89" s="169" t="str">
        <f>_xlfn.XLOOKUP(tblRisk[[#This Row],[Risk Treatment Program]],tblRiskTreatmentPrograms[Risk Treatment Program],tblRiskTreatmentPrograms[Estimated End Date (MM/DD/YYYY)],"")</f>
        <v/>
      </c>
      <c r="BE89" s="170"/>
      <c r="BF89" s="171" t="str">
        <f>_xlfn.IFNA(IF(tblRisk[[#This Row],[Due Date]]&lt;=vWhatIfQuarter,"Closed",""),"")</f>
        <v/>
      </c>
      <c r="BG89" s="171">
        <f>IF(tblRisk[[#This Row],[Scenario Builder Status]]="Closed",tblRisk[[#This Row],[Risk Score With Safeguard in Place]],tblRisk[[#This Row],[Risk Score]])</f>
        <v>3</v>
      </c>
      <c r="BH89" s="192" t="str">
        <f>tblRisk[[#This Row],[Common Security Program]]&amp;tblRisk[[#This Row],[Common Security Control]]&amp;tblRisk[[#This Row],[Asset Designation ]]</f>
        <v>BC/DRGovernanceData</v>
      </c>
      <c r="BI89" s="191"/>
      <c r="BJ89" s="191"/>
      <c r="BK89" s="191"/>
      <c r="BL89" s="191"/>
      <c r="BM89" s="191"/>
      <c r="BN89" s="191"/>
      <c r="BO89" s="191"/>
      <c r="BP89" s="191"/>
      <c r="BQ89" s="191" t="s">
        <v>117</v>
      </c>
    </row>
    <row r="90" spans="1:69" ht="236.25" x14ac:dyDescent="0.65">
      <c r="A90" s="160">
        <v>87</v>
      </c>
      <c r="B90" s="160" t="s">
        <v>899</v>
      </c>
      <c r="C90" s="19" t="s">
        <v>967</v>
      </c>
      <c r="D90" s="28" t="s">
        <v>1208</v>
      </c>
      <c r="E90" s="208" t="s">
        <v>1097</v>
      </c>
      <c r="F90" s="194" t="s">
        <v>117</v>
      </c>
      <c r="G90" s="194" t="s">
        <v>117</v>
      </c>
      <c r="H90" s="194" t="s">
        <v>117</v>
      </c>
      <c r="I90" s="194" t="s">
        <v>1081</v>
      </c>
      <c r="J90" s="194" t="s">
        <v>1081</v>
      </c>
      <c r="K90" s="194" t="s">
        <v>1080</v>
      </c>
      <c r="L90" s="194" t="s">
        <v>1081</v>
      </c>
      <c r="M90" s="194" t="s">
        <v>1081</v>
      </c>
      <c r="N90" s="194">
        <f>COUNTIF(tblRisk[[#This Row],[Defends Against Malware]:[Defends Against Targeted Intrusions]],"Yes")</f>
        <v>4</v>
      </c>
      <c r="O90" s="160" t="s">
        <v>14</v>
      </c>
      <c r="P90" s="160" t="s">
        <v>88</v>
      </c>
      <c r="Q90" s="160" t="s">
        <v>37</v>
      </c>
      <c r="R90" s="160" t="s">
        <v>1084</v>
      </c>
      <c r="S90" s="160" t="s">
        <v>1404</v>
      </c>
      <c r="T90" s="160" t="s">
        <v>1403</v>
      </c>
      <c r="U90" s="160" t="s">
        <v>1401</v>
      </c>
      <c r="V90" s="19" t="s">
        <v>1657</v>
      </c>
      <c r="W90" s="160" t="s">
        <v>1709</v>
      </c>
      <c r="X90" s="160" t="s">
        <v>1808</v>
      </c>
      <c r="Y90" s="151">
        <f>IF(ISBLANK(tblRisk[[#This Row],[Threat Cluster]]),"",_xlfn.XLOOKUP(tblRisk[[#This Row],[Threat Cluster]],tblHIT[Threat Cluster],tblHIT[Quintile]))</f>
        <v>1</v>
      </c>
      <c r="Z90" s="152">
        <v>4</v>
      </c>
      <c r="AA90" s="153" t="str">
        <f>IF(OR(ISBLANK(tblRisk[[#This Row],[HIT Quintile]]),ISBLANK(tblRisk[[#This Row],[Control Maturity]])),"",_xlfn.XLOOKUP(tblRisk[[#This Row],[Control Maturity]] &amp; tblRisk[[#This Row],[HIT Quintile]],tblHITWDI[Lookup],tblHITWDI[Likelihood Description]))</f>
        <v>Not Foreseeable</v>
      </c>
      <c r="AB90" s="161">
        <f>IF(ISERROR(tblRisk[[#This Row],[Likelihood of Control Failure]]),"",VLOOKUP(tblRisk[[#This Row],[Likelihood of Control Failure]],tblLikelihood[],2,FALSE))</f>
        <v>1</v>
      </c>
      <c r="AC90" s="154">
        <v>2</v>
      </c>
      <c r="AD90" s="155">
        <v>2</v>
      </c>
      <c r="AE90" s="155">
        <v>3</v>
      </c>
      <c r="AF90" s="162">
        <f>IF(ISBLANK(tblRisk[[#This Row],[Impact to Mission]]),"",MAX(tblRisk[[#This Row],[Impact to Mission]:[Impact to Obligations]]))</f>
        <v>3</v>
      </c>
      <c r="AG90" s="163">
        <f>IF(ISERROR(tblRisk[[#This Row],[Impact Score]]*tblRisk[[#This Row],[Likelihood Score]]),"",tblRisk[[#This Row],[Likelihood Score]]*tblRisk[[#This Row],[Impact Score]])</f>
        <v>3</v>
      </c>
      <c r="AH90" s="163">
        <f>tblRisk[[#This Row],[Risk Score]]</f>
        <v>3</v>
      </c>
      <c r="AI90" s="164">
        <f t="shared" si="2"/>
        <v>9</v>
      </c>
      <c r="AJ90" s="164">
        <f>IF(tblRisk[[#This Row],[Safeguard Status]]="In Place",tblRisk[[#This Row],[Control Maturity after SG]],tblRisk[[#This Row],[Control Maturity]])</f>
        <v>4</v>
      </c>
      <c r="AK90" s="173" t="str">
        <f>IF(tblRisk[[#This Row],[Safeguard Status]]="In Place",tblRisk[[#This Row],[Safeguard Threat Cluster]],tblRisk[[#This Row],[Threat Cluster]])</f>
        <v>System Failure</v>
      </c>
      <c r="AL90" s="164">
        <f>IF(tblRisk[[#This Row],[Safeguard Status]]="In Place",tblRisk[[#This Row],[Risk Level With Safeguard in Place]],tblRisk[[#This Row],[Risk Level]])</f>
        <v>3</v>
      </c>
      <c r="AM90" s="165" t="s">
        <v>1887</v>
      </c>
      <c r="AN90" s="165" t="str">
        <f>IF(tblRisk[[#This Row],[Risk Treatment Option]]="Manage",_xlfn.IFNA(INDEX(tblRiskTreatmentPrograms[#Data],MATCH(tblRisk[[#This Row],[Common Security Program]]&amp;tblRisk[[#This Row],[Common Security Control]],tblRiskTreatmentPrograms[Lookup],0),MATCH($AN$3,tblRiskTreatmentPrograms[#Headers],0)),txtBadRTP),"")</f>
        <v/>
      </c>
      <c r="AO90" s="165" t="str">
        <f>IF(tblRisk[[#This Row],[Risk Treatment Program]]="","",INDEX(tblRiskTreatmentPrograms[#Data],MATCH(tblRisk[[#This Row],[Risk Treatment Program]],tblRiskTreatmentPrograms[Risk Treatment Program],0),MATCH($AO$3,tblRiskTreatmentPrograms[#Headers],0)))</f>
        <v/>
      </c>
      <c r="AP90" s="165"/>
      <c r="AQ9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0" s="19" t="str">
        <f>tblRisk[[#This Row],[Threat Cluster]]</f>
        <v>System Failure</v>
      </c>
      <c r="AS90" s="156">
        <f>IF(ISBLANK(tblRisk[[#This Row],[Safeguard Threat Cluster]]),"",_xlfn.XLOOKUP(tblRisk[[#This Row],[Safeguard Threat Cluster]],tblHIT[Threat Cluster],tblHIT[Quintile]))</f>
        <v>1</v>
      </c>
      <c r="AT90" s="157">
        <f>_xlfn.SWITCH(tblRisk[[#This Row],[Risk Treatment Option]],"Manage",tblRisk[[#This Row],[Control Maturity]]+1,tblRisk[[#This Row],[Control Maturity]])</f>
        <v>4</v>
      </c>
      <c r="AU90" s="158" t="str">
        <f>IF(OR(ISBLANK(tblRisk[[#This Row],[Safeguard HIT Quintile]]),ISBLANK(tblRisk[[#This Row],[Control Maturity after SG]])),"",_xlfn.XLOOKUP(tblRisk[[#This Row],[Control Maturity after SG]] &amp;tblRisk[[#This Row],[Safeguard HIT Quintile]],tblHITWDI[Lookup],tblHITWDI[Likelihood Description]))</f>
        <v>Not Foreseeable</v>
      </c>
      <c r="AV90" s="166">
        <f>IF(ISERROR(tblRisk[[#This Row],[Likelihood of Control Failure after SG]]),"",VLOOKUP(tblRisk[[#This Row],[Likelihood of Control Failure after SG]],tblLikelihood[#Data],2,FALSE))</f>
        <v>1</v>
      </c>
      <c r="AW90" s="159">
        <f>tblRisk[[#This Row],[Impact to Mission]]</f>
        <v>2</v>
      </c>
      <c r="AX90" s="159">
        <f>tblRisk[[#This Row],[Impact to Objectives]]</f>
        <v>2</v>
      </c>
      <c r="AY90" s="159">
        <f>tblRisk[[#This Row],[Impact to Obligations]]</f>
        <v>3</v>
      </c>
      <c r="AZ90" s="166">
        <f>IF(ISBLANK(tblRisk[[#This Row],[Impact to Mission With Safeguard in Place]]),"",MAX(tblRisk[[#This Row],[Impact to Mission With Safeguard in Place]:[Impact to Obligations With Safeguard in Place]]))</f>
        <v>3</v>
      </c>
      <c r="BA90" s="167">
        <f>IF(ISERROR(tblRisk[[#This Row],[Impact Score with Safeguard in Place]]*tblRisk[[#This Row],[Likelihood Score with Safeguard in Place]]),"",tblRisk[[#This Row],[Impact Score with Safeguard in Place]]*tblRisk[[#This Row],[Likelihood Score with Safeguard in Place]])</f>
        <v>3</v>
      </c>
      <c r="BB90" s="164">
        <f>tblRisk[[#This Row],[Risk Score With Safeguard in Place]]</f>
        <v>3</v>
      </c>
      <c r="BC90" s="168" t="str">
        <f>IF(tblRisk[[#This Row],[Risk Treatment Option]]&lt;&gt;"Accept",IF(_xlfn.XLOOKUP(tblRisk[[#This Row],[Specific Safeguard Recommendation]],ProTrak[Task],ProTrak[Status],"Not Found")="Completed","Pending Validation","Pending"),"")</f>
        <v/>
      </c>
      <c r="BD90" s="169" t="str">
        <f>_xlfn.XLOOKUP(tblRisk[[#This Row],[Risk Treatment Program]],tblRiskTreatmentPrograms[Risk Treatment Program],tblRiskTreatmentPrograms[Estimated End Date (MM/DD/YYYY)],"")</f>
        <v/>
      </c>
      <c r="BE90" s="170"/>
      <c r="BF90" s="171" t="str">
        <f>_xlfn.IFNA(IF(tblRisk[[#This Row],[Due Date]]&lt;=vWhatIfQuarter,"Closed",""),"")</f>
        <v/>
      </c>
      <c r="BG90" s="171">
        <f>IF(tblRisk[[#This Row],[Scenario Builder Status]]="Closed",tblRisk[[#This Row],[Risk Score With Safeguard in Place]],tblRisk[[#This Row],[Risk Score]])</f>
        <v>3</v>
      </c>
      <c r="BH90" s="192" t="str">
        <f>tblRisk[[#This Row],[Common Security Program]]&amp;tblRisk[[#This Row],[Common Security Control]]&amp;tblRisk[[#This Row],[Asset Designation ]]</f>
        <v>BC/DROperationData</v>
      </c>
      <c r="BI90" s="191"/>
      <c r="BJ90" s="191"/>
      <c r="BK90" s="191"/>
      <c r="BL90" s="191"/>
      <c r="BM90" s="191"/>
      <c r="BN90" s="191"/>
      <c r="BO90" s="191"/>
      <c r="BP90" s="191"/>
      <c r="BQ90" s="191" t="s">
        <v>117</v>
      </c>
    </row>
    <row r="91" spans="1:69" ht="236.25" x14ac:dyDescent="0.65">
      <c r="A91" s="160">
        <v>88</v>
      </c>
      <c r="B91" s="160" t="s">
        <v>899</v>
      </c>
      <c r="C91" s="19" t="s">
        <v>968</v>
      </c>
      <c r="D91" s="28" t="s">
        <v>1209</v>
      </c>
      <c r="E91" s="207" t="s">
        <v>1097</v>
      </c>
      <c r="F91" s="194" t="s">
        <v>117</v>
      </c>
      <c r="G91" s="194" t="s">
        <v>117</v>
      </c>
      <c r="H91" s="194" t="s">
        <v>117</v>
      </c>
      <c r="I91" s="194" t="s">
        <v>1081</v>
      </c>
      <c r="J91" s="194" t="s">
        <v>1081</v>
      </c>
      <c r="K91" s="194" t="s">
        <v>1081</v>
      </c>
      <c r="L91" s="194" t="s">
        <v>1081</v>
      </c>
      <c r="M91" s="194" t="s">
        <v>1081</v>
      </c>
      <c r="N91" s="194">
        <f>COUNTIF(tblRisk[[#This Row],[Defends Against Malware]:[Defends Against Targeted Intrusions]],"Yes")</f>
        <v>5</v>
      </c>
      <c r="O91" s="160" t="s">
        <v>14</v>
      </c>
      <c r="P91" s="160" t="s">
        <v>88</v>
      </c>
      <c r="Q91" s="160" t="s">
        <v>611</v>
      </c>
      <c r="R91" s="160" t="s">
        <v>1084</v>
      </c>
      <c r="S91" s="160" t="s">
        <v>1404</v>
      </c>
      <c r="T91" s="160" t="s">
        <v>1403</v>
      </c>
      <c r="U91" s="160" t="s">
        <v>1401</v>
      </c>
      <c r="V91" s="160" t="s">
        <v>1610</v>
      </c>
      <c r="W91" s="160" t="s">
        <v>1709</v>
      </c>
      <c r="X91" s="160" t="s">
        <v>1809</v>
      </c>
      <c r="Y91" s="151">
        <f>IF(ISBLANK(tblRisk[[#This Row],[Threat Cluster]]),"",_xlfn.XLOOKUP(tblRisk[[#This Row],[Threat Cluster]],tblHIT[Threat Cluster],tblHIT[Quintile]))</f>
        <v>3</v>
      </c>
      <c r="Z91" s="152">
        <v>4</v>
      </c>
      <c r="AA91" s="153" t="str">
        <f>IF(OR(ISBLANK(tblRisk[[#This Row],[HIT Quintile]]),ISBLANK(tblRisk[[#This Row],[Control Maturity]])),"",_xlfn.XLOOKUP(tblRisk[[#This Row],[Control Maturity]] &amp; tblRisk[[#This Row],[HIT Quintile]],tblHITWDI[Lookup],tblHITWDI[Likelihood Description]))</f>
        <v>Foreseeable, not expected</v>
      </c>
      <c r="AB91" s="161">
        <f>IF(ISERROR(tblRisk[[#This Row],[Likelihood of Control Failure]]),"",VLOOKUP(tblRisk[[#This Row],[Likelihood of Control Failure]],tblLikelihood[],2,FALSE))</f>
        <v>2</v>
      </c>
      <c r="AC91" s="154">
        <v>2</v>
      </c>
      <c r="AD91" s="155">
        <v>2</v>
      </c>
      <c r="AE91" s="155">
        <v>3</v>
      </c>
      <c r="AF91" s="162">
        <f>IF(ISBLANK(tblRisk[[#This Row],[Impact to Mission]]),"",MAX(tblRisk[[#This Row],[Impact to Mission]:[Impact to Obligations]]))</f>
        <v>3</v>
      </c>
      <c r="AG91" s="163">
        <f>IF(ISERROR(tblRisk[[#This Row],[Impact Score]]*tblRisk[[#This Row],[Likelihood Score]]),"",tblRisk[[#This Row],[Likelihood Score]]*tblRisk[[#This Row],[Impact Score]])</f>
        <v>6</v>
      </c>
      <c r="AH91" s="163">
        <f>tblRisk[[#This Row],[Risk Score]]</f>
        <v>6</v>
      </c>
      <c r="AI91" s="164">
        <f t="shared" si="2"/>
        <v>9</v>
      </c>
      <c r="AJ91" s="164">
        <f>IF(tblRisk[[#This Row],[Safeguard Status]]="In Place",tblRisk[[#This Row],[Control Maturity after SG]],tblRisk[[#This Row],[Control Maturity]])</f>
        <v>4</v>
      </c>
      <c r="AK91" s="173" t="str">
        <f>IF(tblRisk[[#This Row],[Safeguard Status]]="In Place",tblRisk[[#This Row],[Safeguard Threat Cluster]],tblRisk[[#This Row],[Threat Cluster]])</f>
        <v>Physical Facility</v>
      </c>
      <c r="AL91" s="164">
        <f>IF(tblRisk[[#This Row],[Safeguard Status]]="In Place",tblRisk[[#This Row],[Risk Level With Safeguard in Place]],tblRisk[[#This Row],[Risk Level]])</f>
        <v>6</v>
      </c>
      <c r="AM91" s="165" t="s">
        <v>1887</v>
      </c>
      <c r="AN91" s="165" t="str">
        <f>IF(tblRisk[[#This Row],[Risk Treatment Option]]="Manage",_xlfn.IFNA(INDEX(tblRiskTreatmentPrograms[#Data],MATCH(tblRisk[[#This Row],[Common Security Program]]&amp;tblRisk[[#This Row],[Common Security Control]],tblRiskTreatmentPrograms[Lookup],0),MATCH($AN$3,tblRiskTreatmentPrograms[#Headers],0)),txtBadRTP),"")</f>
        <v/>
      </c>
      <c r="AO91" s="165" t="str">
        <f>IF(tblRisk[[#This Row],[Risk Treatment Program]]="","",INDEX(tblRiskTreatmentPrograms[#Data],MATCH(tblRisk[[#This Row],[Risk Treatment Program]],tblRiskTreatmentPrograms[Risk Treatment Program],0),MATCH($AO$3,tblRiskTreatmentPrograms[#Headers],0)))</f>
        <v/>
      </c>
      <c r="AP91" s="165"/>
      <c r="AQ9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1" s="19" t="str">
        <f>tblRisk[[#This Row],[Threat Cluster]]</f>
        <v>Physical Facility</v>
      </c>
      <c r="AS91" s="156">
        <f>IF(ISBLANK(tblRisk[[#This Row],[Safeguard Threat Cluster]]),"",_xlfn.XLOOKUP(tblRisk[[#This Row],[Safeguard Threat Cluster]],tblHIT[Threat Cluster],tblHIT[Quintile]))</f>
        <v>3</v>
      </c>
      <c r="AT91" s="157">
        <f>_xlfn.SWITCH(tblRisk[[#This Row],[Risk Treatment Option]],"Manage",tblRisk[[#This Row],[Control Maturity]]+1,tblRisk[[#This Row],[Control Maturity]])</f>
        <v>4</v>
      </c>
      <c r="AU9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1" s="166">
        <f>IF(ISERROR(tblRisk[[#This Row],[Likelihood of Control Failure after SG]]),"",VLOOKUP(tblRisk[[#This Row],[Likelihood of Control Failure after SG]],tblLikelihood[#Data],2,FALSE))</f>
        <v>2</v>
      </c>
      <c r="AW91" s="159">
        <f>tblRisk[[#This Row],[Impact to Mission]]</f>
        <v>2</v>
      </c>
      <c r="AX91" s="159">
        <f>tblRisk[[#This Row],[Impact to Objectives]]</f>
        <v>2</v>
      </c>
      <c r="AY91" s="159">
        <f>tblRisk[[#This Row],[Impact to Obligations]]</f>
        <v>3</v>
      </c>
      <c r="AZ91" s="166">
        <f>IF(ISBLANK(tblRisk[[#This Row],[Impact to Mission With Safeguard in Place]]),"",MAX(tblRisk[[#This Row],[Impact to Mission With Safeguard in Place]:[Impact to Obligations With Safeguard in Place]]))</f>
        <v>3</v>
      </c>
      <c r="BA91" s="167">
        <f>IF(ISERROR(tblRisk[[#This Row],[Impact Score with Safeguard in Place]]*tblRisk[[#This Row],[Likelihood Score with Safeguard in Place]]),"",tblRisk[[#This Row],[Impact Score with Safeguard in Place]]*tblRisk[[#This Row],[Likelihood Score with Safeguard in Place]])</f>
        <v>6</v>
      </c>
      <c r="BB91" s="164">
        <f>tblRisk[[#This Row],[Risk Score With Safeguard in Place]]</f>
        <v>6</v>
      </c>
      <c r="BC91" s="168" t="str">
        <f>IF(tblRisk[[#This Row],[Risk Treatment Option]]&lt;&gt;"Accept",IF(_xlfn.XLOOKUP(tblRisk[[#This Row],[Specific Safeguard Recommendation]],ProTrak[Task],ProTrak[Status],"Not Found")="Completed","Pending Validation","Pending"),"")</f>
        <v/>
      </c>
      <c r="BD91" s="169" t="str">
        <f>_xlfn.XLOOKUP(tblRisk[[#This Row],[Risk Treatment Program]],tblRiskTreatmentPrograms[Risk Treatment Program],tblRiskTreatmentPrograms[Estimated End Date (MM/DD/YYYY)],"")</f>
        <v/>
      </c>
      <c r="BE91" s="170"/>
      <c r="BF91" s="171" t="str">
        <f>_xlfn.IFNA(IF(tblRisk[[#This Row],[Due Date]]&lt;=vWhatIfQuarter,"Closed",""),"")</f>
        <v/>
      </c>
      <c r="BG91" s="171">
        <f>IF(tblRisk[[#This Row],[Scenario Builder Status]]="Closed",tblRisk[[#This Row],[Risk Score With Safeguard in Place]],tblRisk[[#This Row],[Risk Score]])</f>
        <v>6</v>
      </c>
      <c r="BH91" s="192" t="str">
        <f>tblRisk[[#This Row],[Common Security Program]]&amp;tblRisk[[#This Row],[Common Security Control]]&amp;tblRisk[[#This Row],[Asset Designation ]]</f>
        <v>BC/DROperationData</v>
      </c>
      <c r="BI91" s="191"/>
      <c r="BJ91" s="191"/>
      <c r="BK91" s="191"/>
      <c r="BL91" s="191"/>
      <c r="BM91" s="191"/>
      <c r="BN91" s="191"/>
      <c r="BO91" s="191"/>
      <c r="BP91" s="191"/>
      <c r="BQ91" s="191" t="s">
        <v>117</v>
      </c>
    </row>
    <row r="92" spans="1:69" ht="78.75" x14ac:dyDescent="0.65">
      <c r="A92" s="160">
        <v>89</v>
      </c>
      <c r="B92" s="160" t="s">
        <v>899</v>
      </c>
      <c r="C92" s="19" t="s">
        <v>1035</v>
      </c>
      <c r="D92" s="28" t="s">
        <v>1210</v>
      </c>
      <c r="E92" s="207" t="s">
        <v>1097</v>
      </c>
      <c r="F92" s="194" t="s">
        <v>117</v>
      </c>
      <c r="G92" s="194" t="s">
        <v>117</v>
      </c>
      <c r="H92" s="194" t="s">
        <v>117</v>
      </c>
      <c r="I92" s="194" t="s">
        <v>1081</v>
      </c>
      <c r="J92" s="194" t="s">
        <v>1081</v>
      </c>
      <c r="K92" s="194" t="s">
        <v>1081</v>
      </c>
      <c r="L92" s="194" t="s">
        <v>1081</v>
      </c>
      <c r="M92" s="194" t="s">
        <v>1081</v>
      </c>
      <c r="N92" s="194">
        <f>COUNTIF(tblRisk[[#This Row],[Defends Against Malware]:[Defends Against Targeted Intrusions]],"Yes")</f>
        <v>5</v>
      </c>
      <c r="O92" s="160" t="s">
        <v>14</v>
      </c>
      <c r="P92" s="160" t="s">
        <v>86</v>
      </c>
      <c r="Q92" s="160" t="s">
        <v>37</v>
      </c>
      <c r="R92" s="160" t="s">
        <v>1084</v>
      </c>
      <c r="S92" s="160" t="s">
        <v>1402</v>
      </c>
      <c r="T92" s="160" t="s">
        <v>1400</v>
      </c>
      <c r="U92" s="160" t="s">
        <v>1401</v>
      </c>
      <c r="V92" s="19" t="s">
        <v>1658</v>
      </c>
      <c r="W92" s="160" t="s">
        <v>1709</v>
      </c>
      <c r="X92" s="160" t="s">
        <v>1810</v>
      </c>
      <c r="Y92" s="151">
        <f>IF(ISBLANK(tblRisk[[#This Row],[Threat Cluster]]),"",_xlfn.XLOOKUP(tblRisk[[#This Row],[Threat Cluster]],tblHIT[Threat Cluster],tblHIT[Quintile]))</f>
        <v>1</v>
      </c>
      <c r="Z92" s="152">
        <v>4</v>
      </c>
      <c r="AA92" s="153" t="str">
        <f>IF(OR(ISBLANK(tblRisk[[#This Row],[HIT Quintile]]),ISBLANK(tblRisk[[#This Row],[Control Maturity]])),"",_xlfn.XLOOKUP(tblRisk[[#This Row],[Control Maturity]] &amp; tblRisk[[#This Row],[HIT Quintile]],tblHITWDI[Lookup],tblHITWDI[Likelihood Description]))</f>
        <v>Not Foreseeable</v>
      </c>
      <c r="AB92" s="161">
        <f>IF(ISERROR(tblRisk[[#This Row],[Likelihood of Control Failure]]),"",VLOOKUP(tblRisk[[#This Row],[Likelihood of Control Failure]],tblLikelihood[],2,FALSE))</f>
        <v>1</v>
      </c>
      <c r="AC92" s="154">
        <v>2</v>
      </c>
      <c r="AD92" s="155">
        <v>2</v>
      </c>
      <c r="AE92" s="155">
        <v>3</v>
      </c>
      <c r="AF92" s="162">
        <f>IF(ISBLANK(tblRisk[[#This Row],[Impact to Mission]]),"",MAX(tblRisk[[#This Row],[Impact to Mission]:[Impact to Obligations]]))</f>
        <v>3</v>
      </c>
      <c r="AG92" s="163">
        <f>IF(ISERROR(tblRisk[[#This Row],[Impact Score]]*tblRisk[[#This Row],[Likelihood Score]]),"",tblRisk[[#This Row],[Likelihood Score]]*tblRisk[[#This Row],[Impact Score]])</f>
        <v>3</v>
      </c>
      <c r="AH92" s="163">
        <f>tblRisk[[#This Row],[Risk Score]]</f>
        <v>3</v>
      </c>
      <c r="AI92" s="164">
        <f t="shared" si="2"/>
        <v>9</v>
      </c>
      <c r="AJ92" s="164">
        <f>IF(tblRisk[[#This Row],[Safeguard Status]]="In Place",tblRisk[[#This Row],[Control Maturity after SG]],tblRisk[[#This Row],[Control Maturity]])</f>
        <v>4</v>
      </c>
      <c r="AK92" s="173" t="str">
        <f>IF(tblRisk[[#This Row],[Safeguard Status]]="In Place",tblRisk[[#This Row],[Safeguard Threat Cluster]],tblRisk[[#This Row],[Threat Cluster]])</f>
        <v>System Failure</v>
      </c>
      <c r="AL92" s="164">
        <f>IF(tblRisk[[#This Row],[Safeguard Status]]="In Place",tblRisk[[#This Row],[Risk Level With Safeguard in Place]],tblRisk[[#This Row],[Risk Level]])</f>
        <v>3</v>
      </c>
      <c r="AM92" s="165" t="s">
        <v>1887</v>
      </c>
      <c r="AN92" s="165" t="str">
        <f>IF(tblRisk[[#This Row],[Risk Treatment Option]]="Manage",_xlfn.IFNA(INDEX(tblRiskTreatmentPrograms[#Data],MATCH(tblRisk[[#This Row],[Common Security Program]]&amp;tblRisk[[#This Row],[Common Security Control]],tblRiskTreatmentPrograms[Lookup],0),MATCH($AN$3,tblRiskTreatmentPrograms[#Headers],0)),txtBadRTP),"")</f>
        <v/>
      </c>
      <c r="AO92" s="165" t="str">
        <f>IF(tblRisk[[#This Row],[Risk Treatment Program]]="","",INDEX(tblRiskTreatmentPrograms[#Data],MATCH(tblRisk[[#This Row],[Risk Treatment Program]],tblRiskTreatmentPrograms[Risk Treatment Program],0),MATCH($AO$3,tblRiskTreatmentPrograms[#Headers],0)))</f>
        <v/>
      </c>
      <c r="AP92" s="165"/>
      <c r="AQ9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2" s="19" t="str">
        <f>tblRisk[[#This Row],[Threat Cluster]]</f>
        <v>System Failure</v>
      </c>
      <c r="AS92" s="156">
        <f>IF(ISBLANK(tblRisk[[#This Row],[Safeguard Threat Cluster]]),"",_xlfn.XLOOKUP(tblRisk[[#This Row],[Safeguard Threat Cluster]],tblHIT[Threat Cluster],tblHIT[Quintile]))</f>
        <v>1</v>
      </c>
      <c r="AT92" s="157">
        <f>_xlfn.SWITCH(tblRisk[[#This Row],[Risk Treatment Option]],"Manage",tblRisk[[#This Row],[Control Maturity]]+1,tblRisk[[#This Row],[Control Maturity]])</f>
        <v>4</v>
      </c>
      <c r="AU92" s="158" t="str">
        <f>IF(OR(ISBLANK(tblRisk[[#This Row],[Safeguard HIT Quintile]]),ISBLANK(tblRisk[[#This Row],[Control Maturity after SG]])),"",_xlfn.XLOOKUP(tblRisk[[#This Row],[Control Maturity after SG]] &amp;tblRisk[[#This Row],[Safeguard HIT Quintile]],tblHITWDI[Lookup],tblHITWDI[Likelihood Description]))</f>
        <v>Not Foreseeable</v>
      </c>
      <c r="AV92" s="166">
        <f>IF(ISERROR(tblRisk[[#This Row],[Likelihood of Control Failure after SG]]),"",VLOOKUP(tblRisk[[#This Row],[Likelihood of Control Failure after SG]],tblLikelihood[#Data],2,FALSE))</f>
        <v>1</v>
      </c>
      <c r="AW92" s="159">
        <f>tblRisk[[#This Row],[Impact to Mission]]</f>
        <v>2</v>
      </c>
      <c r="AX92" s="159">
        <f>tblRisk[[#This Row],[Impact to Objectives]]</f>
        <v>2</v>
      </c>
      <c r="AY92" s="159">
        <f>tblRisk[[#This Row],[Impact to Obligations]]</f>
        <v>3</v>
      </c>
      <c r="AZ92" s="166">
        <f>IF(ISBLANK(tblRisk[[#This Row],[Impact to Mission With Safeguard in Place]]),"",MAX(tblRisk[[#This Row],[Impact to Mission With Safeguard in Place]:[Impact to Obligations With Safeguard in Place]]))</f>
        <v>3</v>
      </c>
      <c r="BA92" s="167">
        <f>IF(ISERROR(tblRisk[[#This Row],[Impact Score with Safeguard in Place]]*tblRisk[[#This Row],[Likelihood Score with Safeguard in Place]]),"",tblRisk[[#This Row],[Impact Score with Safeguard in Place]]*tblRisk[[#This Row],[Likelihood Score with Safeguard in Place]])</f>
        <v>3</v>
      </c>
      <c r="BB92" s="164">
        <f>tblRisk[[#This Row],[Risk Score With Safeguard in Place]]</f>
        <v>3</v>
      </c>
      <c r="BC92" s="168" t="str">
        <f>IF(tblRisk[[#This Row],[Risk Treatment Option]]&lt;&gt;"Accept",IF(_xlfn.XLOOKUP(tblRisk[[#This Row],[Specific Safeguard Recommendation]],ProTrak[Task],ProTrak[Status],"Not Found")="Completed","Pending Validation","Pending"),"")</f>
        <v/>
      </c>
      <c r="BD92" s="169" t="str">
        <f>_xlfn.XLOOKUP(tblRisk[[#This Row],[Risk Treatment Program]],tblRiskTreatmentPrograms[Risk Treatment Program],tblRiskTreatmentPrograms[Estimated End Date (MM/DD/YYYY)],"")</f>
        <v/>
      </c>
      <c r="BE92" s="170"/>
      <c r="BF92" s="171" t="str">
        <f>_xlfn.IFNA(IF(tblRisk[[#This Row],[Due Date]]&lt;=vWhatIfQuarter,"Closed",""),"")</f>
        <v/>
      </c>
      <c r="BG92" s="171">
        <f>IF(tblRisk[[#This Row],[Scenario Builder Status]]="Closed",tblRisk[[#This Row],[Risk Score With Safeguard in Place]],tblRisk[[#This Row],[Risk Score]])</f>
        <v>3</v>
      </c>
      <c r="BH92" s="192" t="str">
        <f>tblRisk[[#This Row],[Common Security Program]]&amp;tblRisk[[#This Row],[Common Security Control]]&amp;tblRisk[[#This Row],[Asset Designation ]]</f>
        <v>BC/DRGovernanceData</v>
      </c>
      <c r="BI92" s="191"/>
      <c r="BJ92" s="191"/>
      <c r="BK92" s="191"/>
      <c r="BL92" s="191"/>
      <c r="BM92" s="191"/>
      <c r="BN92" s="191"/>
      <c r="BO92" s="191"/>
      <c r="BP92" s="191"/>
      <c r="BQ92" s="191" t="s">
        <v>117</v>
      </c>
    </row>
    <row r="93" spans="1:69" ht="236.25" x14ac:dyDescent="0.65">
      <c r="A93" s="160">
        <v>90</v>
      </c>
      <c r="B93" s="160" t="s">
        <v>899</v>
      </c>
      <c r="C93" s="19" t="s">
        <v>969</v>
      </c>
      <c r="D93" s="28" t="s">
        <v>1211</v>
      </c>
      <c r="E93" s="208" t="s">
        <v>1097</v>
      </c>
      <c r="F93" s="194"/>
      <c r="G93" s="194" t="s">
        <v>117</v>
      </c>
      <c r="H93" s="194" t="s">
        <v>117</v>
      </c>
      <c r="I93" s="194" t="s">
        <v>1081</v>
      </c>
      <c r="J93" s="194" t="s">
        <v>1081</v>
      </c>
      <c r="K93" s="194" t="s">
        <v>1080</v>
      </c>
      <c r="L93" s="194" t="s">
        <v>1081</v>
      </c>
      <c r="M93" s="194" t="s">
        <v>1081</v>
      </c>
      <c r="N93" s="194">
        <f>COUNTIF(tblRisk[[#This Row],[Defends Against Malware]:[Defends Against Targeted Intrusions]],"Yes")</f>
        <v>4</v>
      </c>
      <c r="O93" s="160" t="s">
        <v>14</v>
      </c>
      <c r="P93" s="160" t="s">
        <v>88</v>
      </c>
      <c r="Q93" s="160" t="s">
        <v>37</v>
      </c>
      <c r="R93" s="160" t="s">
        <v>1084</v>
      </c>
      <c r="S93" s="160" t="s">
        <v>1404</v>
      </c>
      <c r="T93" s="160" t="s">
        <v>1403</v>
      </c>
      <c r="U93" s="160" t="s">
        <v>1401</v>
      </c>
      <c r="V93" s="19" t="s">
        <v>1659</v>
      </c>
      <c r="W93" s="160" t="s">
        <v>1811</v>
      </c>
      <c r="X93" s="160" t="s">
        <v>1812</v>
      </c>
      <c r="Y93" s="151">
        <f>IF(ISBLANK(tblRisk[[#This Row],[Threat Cluster]]),"",_xlfn.XLOOKUP(tblRisk[[#This Row],[Threat Cluster]],tblHIT[Threat Cluster],tblHIT[Quintile]))</f>
        <v>1</v>
      </c>
      <c r="Z93" s="152">
        <v>3</v>
      </c>
      <c r="AA93" s="153" t="str">
        <f>IF(OR(ISBLANK(tblRisk[[#This Row],[HIT Quintile]]),ISBLANK(tblRisk[[#This Row],[Control Maturity]])),"",_xlfn.XLOOKUP(tblRisk[[#This Row],[Control Maturity]] &amp; tblRisk[[#This Row],[HIT Quintile]],tblHITWDI[Lookup],tblHITWDI[Likelihood Description]))</f>
        <v>Foreseeable, not expected</v>
      </c>
      <c r="AB93" s="161">
        <f>IF(ISERROR(tblRisk[[#This Row],[Likelihood of Control Failure]]),"",VLOOKUP(tblRisk[[#This Row],[Likelihood of Control Failure]],tblLikelihood[],2,FALSE))</f>
        <v>2</v>
      </c>
      <c r="AC93" s="154">
        <v>2</v>
      </c>
      <c r="AD93" s="155">
        <v>2</v>
      </c>
      <c r="AE93" s="155">
        <v>3</v>
      </c>
      <c r="AF93" s="162">
        <f>IF(ISBLANK(tblRisk[[#This Row],[Impact to Mission]]),"",MAX(tblRisk[[#This Row],[Impact to Mission]:[Impact to Obligations]]))</f>
        <v>3</v>
      </c>
      <c r="AG93" s="163">
        <f>IF(ISERROR(tblRisk[[#This Row],[Impact Score]]*tblRisk[[#This Row],[Likelihood Score]]),"",tblRisk[[#This Row],[Likelihood Score]]*tblRisk[[#This Row],[Impact Score]])</f>
        <v>6</v>
      </c>
      <c r="AH93" s="163">
        <f>tblRisk[[#This Row],[Risk Score]]</f>
        <v>6</v>
      </c>
      <c r="AI93" s="164">
        <f t="shared" si="2"/>
        <v>9</v>
      </c>
      <c r="AJ93" s="164">
        <f>IF(tblRisk[[#This Row],[Safeguard Status]]="In Place",tblRisk[[#This Row],[Control Maturity after SG]],tblRisk[[#This Row],[Control Maturity]])</f>
        <v>3</v>
      </c>
      <c r="AK93" s="173" t="str">
        <f>IF(tblRisk[[#This Row],[Safeguard Status]]="In Place",tblRisk[[#This Row],[Safeguard Threat Cluster]],tblRisk[[#This Row],[Threat Cluster]])</f>
        <v>System Failure</v>
      </c>
      <c r="AL93" s="164">
        <f>IF(tblRisk[[#This Row],[Safeguard Status]]="In Place",tblRisk[[#This Row],[Risk Level With Safeguard in Place]],tblRisk[[#This Row],[Risk Level]])</f>
        <v>6</v>
      </c>
      <c r="AM93" s="165" t="s">
        <v>1887</v>
      </c>
      <c r="AN93" s="165" t="str">
        <f>IF(tblRisk[[#This Row],[Risk Treatment Option]]="Manage",_xlfn.IFNA(INDEX(tblRiskTreatmentPrograms[#Data],MATCH(tblRisk[[#This Row],[Common Security Program]]&amp;tblRisk[[#This Row],[Common Security Control]],tblRiskTreatmentPrograms[Lookup],0),MATCH($AN$3,tblRiskTreatmentPrograms[#Headers],0)),txtBadRTP),"")</f>
        <v/>
      </c>
      <c r="AO93" s="165" t="str">
        <f>IF(tblRisk[[#This Row],[Risk Treatment Program]]="","",INDEX(tblRiskTreatmentPrograms[#Data],MATCH(tblRisk[[#This Row],[Risk Treatment Program]],tblRiskTreatmentPrograms[Risk Treatment Program],0),MATCH($AO$3,tblRiskTreatmentPrograms[#Headers],0)))</f>
        <v/>
      </c>
      <c r="AP93" s="165"/>
      <c r="AQ9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3" s="19" t="str">
        <f>tblRisk[[#This Row],[Threat Cluster]]</f>
        <v>System Failure</v>
      </c>
      <c r="AS93" s="156">
        <f>IF(ISBLANK(tblRisk[[#This Row],[Safeguard Threat Cluster]]),"",_xlfn.XLOOKUP(tblRisk[[#This Row],[Safeguard Threat Cluster]],tblHIT[Threat Cluster],tblHIT[Quintile]))</f>
        <v>1</v>
      </c>
      <c r="AT93" s="157">
        <f>_xlfn.SWITCH(tblRisk[[#This Row],[Risk Treatment Option]],"Manage",tblRisk[[#This Row],[Control Maturity]]+1,tblRisk[[#This Row],[Control Maturity]])</f>
        <v>3</v>
      </c>
      <c r="AU9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3" s="166">
        <f>IF(ISERROR(tblRisk[[#This Row],[Likelihood of Control Failure after SG]]),"",VLOOKUP(tblRisk[[#This Row],[Likelihood of Control Failure after SG]],tblLikelihood[#Data],2,FALSE))</f>
        <v>2</v>
      </c>
      <c r="AW93" s="159">
        <f>tblRisk[[#This Row],[Impact to Mission]]</f>
        <v>2</v>
      </c>
      <c r="AX93" s="159">
        <f>tblRisk[[#This Row],[Impact to Objectives]]</f>
        <v>2</v>
      </c>
      <c r="AY93" s="159">
        <f>tblRisk[[#This Row],[Impact to Obligations]]</f>
        <v>3</v>
      </c>
      <c r="AZ93" s="166">
        <f>IF(ISBLANK(tblRisk[[#This Row],[Impact to Mission With Safeguard in Place]]),"",MAX(tblRisk[[#This Row],[Impact to Mission With Safeguard in Place]:[Impact to Obligations With Safeguard in Place]]))</f>
        <v>3</v>
      </c>
      <c r="BA93" s="167">
        <f>IF(ISERROR(tblRisk[[#This Row],[Impact Score with Safeguard in Place]]*tblRisk[[#This Row],[Likelihood Score with Safeguard in Place]]),"",tblRisk[[#This Row],[Impact Score with Safeguard in Place]]*tblRisk[[#This Row],[Likelihood Score with Safeguard in Place]])</f>
        <v>6</v>
      </c>
      <c r="BB93" s="164">
        <f>tblRisk[[#This Row],[Risk Score With Safeguard in Place]]</f>
        <v>6</v>
      </c>
      <c r="BC93" s="168" t="str">
        <f>IF(tblRisk[[#This Row],[Risk Treatment Option]]&lt;&gt;"Accept",IF(_xlfn.XLOOKUP(tblRisk[[#This Row],[Specific Safeguard Recommendation]],ProTrak[Task],ProTrak[Status],"Not Found")="Completed","Pending Validation","Pending"),"")</f>
        <v/>
      </c>
      <c r="BD93" s="169" t="str">
        <f>_xlfn.XLOOKUP(tblRisk[[#This Row],[Risk Treatment Program]],tblRiskTreatmentPrograms[Risk Treatment Program],tblRiskTreatmentPrograms[Estimated End Date (MM/DD/YYYY)],"")</f>
        <v/>
      </c>
      <c r="BE93" s="170"/>
      <c r="BF93" s="171" t="str">
        <f>_xlfn.IFNA(IF(tblRisk[[#This Row],[Due Date]]&lt;=vWhatIfQuarter,"Closed",""),"")</f>
        <v/>
      </c>
      <c r="BG93" s="171">
        <f>IF(tblRisk[[#This Row],[Scenario Builder Status]]="Closed",tblRisk[[#This Row],[Risk Score With Safeguard in Place]],tblRisk[[#This Row],[Risk Score]])</f>
        <v>6</v>
      </c>
      <c r="BH93" s="192" t="str">
        <f>tblRisk[[#This Row],[Common Security Program]]&amp;tblRisk[[#This Row],[Common Security Control]]&amp;tblRisk[[#This Row],[Asset Designation ]]</f>
        <v>BC/DROperationData</v>
      </c>
      <c r="BI93" s="191"/>
      <c r="BJ93" s="191"/>
      <c r="BK93" s="191"/>
      <c r="BL93" s="191"/>
      <c r="BM93" s="191"/>
      <c r="BN93" s="191"/>
      <c r="BO93" s="191"/>
      <c r="BP93" s="191"/>
      <c r="BQ93" s="191" t="s">
        <v>117</v>
      </c>
    </row>
    <row r="94" spans="1:69" ht="78.75" x14ac:dyDescent="0.65">
      <c r="A94" s="160">
        <v>91</v>
      </c>
      <c r="B94" s="160" t="s">
        <v>899</v>
      </c>
      <c r="C94" s="19" t="s">
        <v>1036</v>
      </c>
      <c r="D94" s="28" t="s">
        <v>1212</v>
      </c>
      <c r="E94" s="207" t="s">
        <v>1093</v>
      </c>
      <c r="F94" s="194" t="s">
        <v>117</v>
      </c>
      <c r="G94" s="194" t="s">
        <v>117</v>
      </c>
      <c r="H94" s="194" t="s">
        <v>117</v>
      </c>
      <c r="I94" s="194" t="s">
        <v>1081</v>
      </c>
      <c r="J94" s="194" t="s">
        <v>1081</v>
      </c>
      <c r="K94" s="194" t="s">
        <v>1081</v>
      </c>
      <c r="L94" s="194" t="s">
        <v>1080</v>
      </c>
      <c r="M94" s="194" t="s">
        <v>1081</v>
      </c>
      <c r="N94" s="194">
        <f>COUNTIF(tblRisk[[#This Row],[Defends Against Malware]:[Defends Against Targeted Intrusions]],"Yes")</f>
        <v>4</v>
      </c>
      <c r="O94" s="160" t="s">
        <v>24</v>
      </c>
      <c r="P94" s="160" t="s">
        <v>86</v>
      </c>
      <c r="Q94" s="160" t="s">
        <v>611</v>
      </c>
      <c r="R94" s="160" t="s">
        <v>1085</v>
      </c>
      <c r="S94" s="160" t="s">
        <v>1087</v>
      </c>
      <c r="T94" s="160" t="s">
        <v>1441</v>
      </c>
      <c r="U94" s="160" t="s">
        <v>1442</v>
      </c>
      <c r="V94" s="19" t="s">
        <v>1611</v>
      </c>
      <c r="W94" s="160" t="s">
        <v>1709</v>
      </c>
      <c r="X94" s="160" t="s">
        <v>1813</v>
      </c>
      <c r="Y94" s="151">
        <f>IF(ISBLANK(tblRisk[[#This Row],[Threat Cluster]]),"",_xlfn.XLOOKUP(tblRisk[[#This Row],[Threat Cluster]],tblHIT[Threat Cluster],tblHIT[Quintile]))</f>
        <v>3</v>
      </c>
      <c r="Z94" s="152">
        <v>4</v>
      </c>
      <c r="AA94" s="153" t="str">
        <f>IF(OR(ISBLANK(tblRisk[[#This Row],[HIT Quintile]]),ISBLANK(tblRisk[[#This Row],[Control Maturity]])),"",_xlfn.XLOOKUP(tblRisk[[#This Row],[Control Maturity]] &amp; tblRisk[[#This Row],[HIT Quintile]],tblHITWDI[Lookup],tblHITWDI[Likelihood Description]))</f>
        <v>Foreseeable, not expected</v>
      </c>
      <c r="AB94" s="161">
        <f>IF(ISERROR(tblRisk[[#This Row],[Likelihood of Control Failure]]),"",VLOOKUP(tblRisk[[#This Row],[Likelihood of Control Failure]],tblLikelihood[],2,FALSE))</f>
        <v>2</v>
      </c>
      <c r="AC94" s="154">
        <v>3</v>
      </c>
      <c r="AD94" s="155">
        <v>3</v>
      </c>
      <c r="AE94" s="155">
        <v>4</v>
      </c>
      <c r="AF94" s="162">
        <f>IF(ISBLANK(tblRisk[[#This Row],[Impact to Mission]]),"",MAX(tblRisk[[#This Row],[Impact to Mission]:[Impact to Obligations]]))</f>
        <v>4</v>
      </c>
      <c r="AG94" s="163">
        <f>IF(ISERROR(tblRisk[[#This Row],[Impact Score]]*tblRisk[[#This Row],[Likelihood Score]]),"",tblRisk[[#This Row],[Likelihood Score]]*tblRisk[[#This Row],[Impact Score]])</f>
        <v>8</v>
      </c>
      <c r="AH94" s="163">
        <f>tblRisk[[#This Row],[Risk Score]]</f>
        <v>8</v>
      </c>
      <c r="AI94" s="164">
        <f t="shared" si="2"/>
        <v>9</v>
      </c>
      <c r="AJ94" s="164">
        <f>IF(tblRisk[[#This Row],[Safeguard Status]]="In Place",tblRisk[[#This Row],[Control Maturity after SG]],tblRisk[[#This Row],[Control Maturity]])</f>
        <v>4</v>
      </c>
      <c r="AK94" s="173" t="str">
        <f>IF(tblRisk[[#This Row],[Safeguard Status]]="In Place",tblRisk[[#This Row],[Safeguard Threat Cluster]],tblRisk[[#This Row],[Threat Cluster]])</f>
        <v>Physical Facility</v>
      </c>
      <c r="AL94" s="164">
        <f>IF(tblRisk[[#This Row],[Safeguard Status]]="In Place",tblRisk[[#This Row],[Risk Level With Safeguard in Place]],tblRisk[[#This Row],[Risk Level]])</f>
        <v>8</v>
      </c>
      <c r="AM94" s="165" t="s">
        <v>1887</v>
      </c>
      <c r="AN94" s="165" t="str">
        <f>IF(tblRisk[[#This Row],[Risk Treatment Option]]="Manage",_xlfn.IFNA(INDEX(tblRiskTreatmentPrograms[#Data],MATCH(tblRisk[[#This Row],[Common Security Program]]&amp;tblRisk[[#This Row],[Common Security Control]],tblRiskTreatmentPrograms[Lookup],0),MATCH($AN$3,tblRiskTreatmentPrograms[#Headers],0)),txtBadRTP),"")</f>
        <v/>
      </c>
      <c r="AO94" s="165" t="str">
        <f>IF(tblRisk[[#This Row],[Risk Treatment Program]]="","",INDEX(tblRiskTreatmentPrograms[#Data],MATCH(tblRisk[[#This Row],[Risk Treatment Program]],tblRiskTreatmentPrograms[Risk Treatment Program],0),MATCH($AO$3,tblRiskTreatmentPrograms[#Headers],0)))</f>
        <v/>
      </c>
      <c r="AP94" s="165"/>
      <c r="AQ9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4" s="19" t="str">
        <f>tblRisk[[#This Row],[Threat Cluster]]</f>
        <v>Physical Facility</v>
      </c>
      <c r="AS94" s="156">
        <f>IF(ISBLANK(tblRisk[[#This Row],[Safeguard Threat Cluster]]),"",_xlfn.XLOOKUP(tblRisk[[#This Row],[Safeguard Threat Cluster]],tblHIT[Threat Cluster],tblHIT[Quintile]))</f>
        <v>3</v>
      </c>
      <c r="AT94" s="157">
        <f>_xlfn.SWITCH(tblRisk[[#This Row],[Risk Treatment Option]],"Manage",tblRisk[[#This Row],[Control Maturity]]+1,tblRisk[[#This Row],[Control Maturity]])</f>
        <v>4</v>
      </c>
      <c r="AU9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4" s="166">
        <f>IF(ISERROR(tblRisk[[#This Row],[Likelihood of Control Failure after SG]]),"",VLOOKUP(tblRisk[[#This Row],[Likelihood of Control Failure after SG]],tblLikelihood[#Data],2,FALSE))</f>
        <v>2</v>
      </c>
      <c r="AW94" s="159">
        <f>tblRisk[[#This Row],[Impact to Mission]]</f>
        <v>3</v>
      </c>
      <c r="AX94" s="159">
        <f>tblRisk[[#This Row],[Impact to Objectives]]</f>
        <v>3</v>
      </c>
      <c r="AY94" s="159">
        <f>tblRisk[[#This Row],[Impact to Obligations]]</f>
        <v>4</v>
      </c>
      <c r="AZ94" s="166">
        <f>IF(ISBLANK(tblRisk[[#This Row],[Impact to Mission With Safeguard in Place]]),"",MAX(tblRisk[[#This Row],[Impact to Mission With Safeguard in Place]:[Impact to Obligations With Safeguard in Place]]))</f>
        <v>4</v>
      </c>
      <c r="BA94" s="167">
        <f>IF(ISERROR(tblRisk[[#This Row],[Impact Score with Safeguard in Place]]*tblRisk[[#This Row],[Likelihood Score with Safeguard in Place]]),"",tblRisk[[#This Row],[Impact Score with Safeguard in Place]]*tblRisk[[#This Row],[Likelihood Score with Safeguard in Place]])</f>
        <v>8</v>
      </c>
      <c r="BB94" s="164">
        <f>tblRisk[[#This Row],[Risk Score With Safeguard in Place]]</f>
        <v>8</v>
      </c>
      <c r="BC94" s="168" t="str">
        <f>IF(tblRisk[[#This Row],[Risk Treatment Option]]&lt;&gt;"Accept",IF(_xlfn.XLOOKUP(tblRisk[[#This Row],[Specific Safeguard Recommendation]],ProTrak[Task],ProTrak[Status],"Not Found")="Completed","Pending Validation","Pending"),"")</f>
        <v/>
      </c>
      <c r="BD94" s="169" t="str">
        <f>_xlfn.XLOOKUP(tblRisk[[#This Row],[Risk Treatment Program]],tblRiskTreatmentPrograms[Risk Treatment Program],tblRiskTreatmentPrograms[Estimated End Date (MM/DD/YYYY)],"")</f>
        <v/>
      </c>
      <c r="BE94" s="170"/>
      <c r="BF94" s="171" t="str">
        <f>_xlfn.IFNA(IF(tblRisk[[#This Row],[Due Date]]&lt;=vWhatIfQuarter,"Closed",""),"")</f>
        <v/>
      </c>
      <c r="BG94" s="171">
        <f>IF(tblRisk[[#This Row],[Scenario Builder Status]]="Closed",tblRisk[[#This Row],[Risk Score With Safeguard in Place]],tblRisk[[#This Row],[Risk Score]])</f>
        <v>8</v>
      </c>
      <c r="BH94" s="192" t="str">
        <f>tblRisk[[#This Row],[Common Security Program]]&amp;tblRisk[[#This Row],[Common Security Control]]&amp;tblRisk[[#This Row],[Asset Designation ]]</f>
        <v>Network ArchitectureGovernanceNetwork</v>
      </c>
      <c r="BI94" s="191"/>
      <c r="BJ94" s="191"/>
      <c r="BK94" s="191"/>
      <c r="BL94" s="191" t="s">
        <v>117</v>
      </c>
      <c r="BM94" s="191" t="s">
        <v>117</v>
      </c>
      <c r="BN94" s="191"/>
      <c r="BO94" s="191" t="s">
        <v>117</v>
      </c>
      <c r="BP94" s="191"/>
      <c r="BQ94" s="191"/>
    </row>
    <row r="95" spans="1:69" ht="94.5" x14ac:dyDescent="0.65">
      <c r="A95" s="160">
        <v>92</v>
      </c>
      <c r="B95" s="160" t="s">
        <v>899</v>
      </c>
      <c r="C95" s="19" t="s">
        <v>1037</v>
      </c>
      <c r="D95" s="28" t="s">
        <v>1213</v>
      </c>
      <c r="E95" s="207" t="s">
        <v>1093</v>
      </c>
      <c r="F95" s="194"/>
      <c r="G95" s="194" t="s">
        <v>117</v>
      </c>
      <c r="H95" s="194" t="s">
        <v>117</v>
      </c>
      <c r="I95" s="194" t="s">
        <v>1081</v>
      </c>
      <c r="J95" s="194" t="s">
        <v>1081</v>
      </c>
      <c r="K95" s="194" t="s">
        <v>1081</v>
      </c>
      <c r="L95" s="194" t="s">
        <v>1081</v>
      </c>
      <c r="M95" s="194" t="s">
        <v>1081</v>
      </c>
      <c r="N95" s="194">
        <f>COUNTIF(tblRisk[[#This Row],[Defends Against Malware]:[Defends Against Targeted Intrusions]],"Yes")</f>
        <v>5</v>
      </c>
      <c r="O95" s="160" t="s">
        <v>24</v>
      </c>
      <c r="P95" s="160" t="s">
        <v>86</v>
      </c>
      <c r="Q95" s="160" t="s">
        <v>30</v>
      </c>
      <c r="R95" s="160" t="s">
        <v>1085</v>
      </c>
      <c r="S95" s="160" t="s">
        <v>1087</v>
      </c>
      <c r="T95" s="160" t="s">
        <v>1441</v>
      </c>
      <c r="U95" s="160" t="s">
        <v>1442</v>
      </c>
      <c r="V95" s="19" t="s">
        <v>1660</v>
      </c>
      <c r="W95" s="160" t="s">
        <v>1709</v>
      </c>
      <c r="X95" s="160" t="s">
        <v>1814</v>
      </c>
      <c r="Y95" s="151">
        <f>IF(ISBLANK(tblRisk[[#This Row],[Threat Cluster]]),"",_xlfn.XLOOKUP(tblRisk[[#This Row],[Threat Cluster]],tblHIT[Threat Cluster],tblHIT[Quintile]))</f>
        <v>2</v>
      </c>
      <c r="Z95" s="152">
        <v>4</v>
      </c>
      <c r="AA95" s="153" t="str">
        <f>IF(OR(ISBLANK(tblRisk[[#This Row],[HIT Quintile]]),ISBLANK(tblRisk[[#This Row],[Control Maturity]])),"",_xlfn.XLOOKUP(tblRisk[[#This Row],[Control Maturity]] &amp; tblRisk[[#This Row],[HIT Quintile]],tblHITWDI[Lookup],tblHITWDI[Likelihood Description]))</f>
        <v>Foreseeable, not expected</v>
      </c>
      <c r="AB95" s="161">
        <f>IF(ISERROR(tblRisk[[#This Row],[Likelihood of Control Failure]]),"",VLOOKUP(tblRisk[[#This Row],[Likelihood of Control Failure]],tblLikelihood[],2,FALSE))</f>
        <v>2</v>
      </c>
      <c r="AC95" s="154">
        <v>3</v>
      </c>
      <c r="AD95" s="155">
        <v>3</v>
      </c>
      <c r="AE95" s="155">
        <v>4</v>
      </c>
      <c r="AF95" s="162">
        <f>IF(ISBLANK(tblRisk[[#This Row],[Impact to Mission]]),"",MAX(tblRisk[[#This Row],[Impact to Mission]:[Impact to Obligations]]))</f>
        <v>4</v>
      </c>
      <c r="AG95" s="163">
        <f>IF(ISERROR(tblRisk[[#This Row],[Impact Score]]*tblRisk[[#This Row],[Likelihood Score]]),"",tblRisk[[#This Row],[Likelihood Score]]*tblRisk[[#This Row],[Impact Score]])</f>
        <v>8</v>
      </c>
      <c r="AH95" s="163">
        <f>tblRisk[[#This Row],[Risk Score]]</f>
        <v>8</v>
      </c>
      <c r="AI95" s="164">
        <f t="shared" si="2"/>
        <v>9</v>
      </c>
      <c r="AJ95" s="164">
        <f>IF(tblRisk[[#This Row],[Safeguard Status]]="In Place",tblRisk[[#This Row],[Control Maturity after SG]],tblRisk[[#This Row],[Control Maturity]])</f>
        <v>4</v>
      </c>
      <c r="AK95" s="173" t="str">
        <f>IF(tblRisk[[#This Row],[Safeguard Status]]="In Place",tblRisk[[#This Row],[Safeguard Threat Cluster]],tblRisk[[#This Row],[Threat Cluster]])</f>
        <v>Hacking System</v>
      </c>
      <c r="AL95" s="164">
        <f>IF(tblRisk[[#This Row],[Safeguard Status]]="In Place",tblRisk[[#This Row],[Risk Level With Safeguard in Place]],tblRisk[[#This Row],[Risk Level]])</f>
        <v>8</v>
      </c>
      <c r="AM95" s="165" t="s">
        <v>1887</v>
      </c>
      <c r="AN95" s="165" t="str">
        <f>IF(tblRisk[[#This Row],[Risk Treatment Option]]="Manage",_xlfn.IFNA(INDEX(tblRiskTreatmentPrograms[#Data],MATCH(tblRisk[[#This Row],[Common Security Program]]&amp;tblRisk[[#This Row],[Common Security Control]],tblRiskTreatmentPrograms[Lookup],0),MATCH($AN$3,tblRiskTreatmentPrograms[#Headers],0)),txtBadRTP),"")</f>
        <v/>
      </c>
      <c r="AO95" s="165" t="str">
        <f>IF(tblRisk[[#This Row],[Risk Treatment Program]]="","",INDEX(tblRiskTreatmentPrograms[#Data],MATCH(tblRisk[[#This Row],[Risk Treatment Program]],tblRiskTreatmentPrograms[Risk Treatment Program],0),MATCH($AO$3,tblRiskTreatmentPrograms[#Headers],0)))</f>
        <v/>
      </c>
      <c r="AP95" s="165"/>
      <c r="AQ9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5" s="19" t="str">
        <f>tblRisk[[#This Row],[Threat Cluster]]</f>
        <v>Hacking System</v>
      </c>
      <c r="AS95" s="156">
        <f>IF(ISBLANK(tblRisk[[#This Row],[Safeguard Threat Cluster]]),"",_xlfn.XLOOKUP(tblRisk[[#This Row],[Safeguard Threat Cluster]],tblHIT[Threat Cluster],tblHIT[Quintile]))</f>
        <v>2</v>
      </c>
      <c r="AT95" s="157">
        <f>_xlfn.SWITCH(tblRisk[[#This Row],[Risk Treatment Option]],"Manage",tblRisk[[#This Row],[Control Maturity]]+1,tblRisk[[#This Row],[Control Maturity]])</f>
        <v>4</v>
      </c>
      <c r="AU9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5" s="166">
        <f>IF(ISERROR(tblRisk[[#This Row],[Likelihood of Control Failure after SG]]),"",VLOOKUP(tblRisk[[#This Row],[Likelihood of Control Failure after SG]],tblLikelihood[#Data],2,FALSE))</f>
        <v>2</v>
      </c>
      <c r="AW95" s="159">
        <f>tblRisk[[#This Row],[Impact to Mission]]</f>
        <v>3</v>
      </c>
      <c r="AX95" s="159">
        <f>tblRisk[[#This Row],[Impact to Objectives]]</f>
        <v>3</v>
      </c>
      <c r="AY95" s="159">
        <f>tblRisk[[#This Row],[Impact to Obligations]]</f>
        <v>4</v>
      </c>
      <c r="AZ95" s="166">
        <f>IF(ISBLANK(tblRisk[[#This Row],[Impact to Mission With Safeguard in Place]]),"",MAX(tblRisk[[#This Row],[Impact to Mission With Safeguard in Place]:[Impact to Obligations With Safeguard in Place]]))</f>
        <v>4</v>
      </c>
      <c r="BA95" s="167">
        <f>IF(ISERROR(tblRisk[[#This Row],[Impact Score with Safeguard in Place]]*tblRisk[[#This Row],[Likelihood Score with Safeguard in Place]]),"",tblRisk[[#This Row],[Impact Score with Safeguard in Place]]*tblRisk[[#This Row],[Likelihood Score with Safeguard in Place]])</f>
        <v>8</v>
      </c>
      <c r="BB95" s="164">
        <f>tblRisk[[#This Row],[Risk Score With Safeguard in Place]]</f>
        <v>8</v>
      </c>
      <c r="BC95" s="168" t="str">
        <f>IF(tblRisk[[#This Row],[Risk Treatment Option]]&lt;&gt;"Accept",IF(_xlfn.XLOOKUP(tblRisk[[#This Row],[Specific Safeguard Recommendation]],ProTrak[Task],ProTrak[Status],"Not Found")="Completed","Pending Validation","Pending"),"")</f>
        <v/>
      </c>
      <c r="BD95" s="169" t="str">
        <f>_xlfn.XLOOKUP(tblRisk[[#This Row],[Risk Treatment Program]],tblRiskTreatmentPrograms[Risk Treatment Program],tblRiskTreatmentPrograms[Estimated End Date (MM/DD/YYYY)],"")</f>
        <v/>
      </c>
      <c r="BE95" s="170"/>
      <c r="BF95" s="171" t="str">
        <f>_xlfn.IFNA(IF(tblRisk[[#This Row],[Due Date]]&lt;=vWhatIfQuarter,"Closed",""),"")</f>
        <v/>
      </c>
      <c r="BG95" s="171">
        <f>IF(tblRisk[[#This Row],[Scenario Builder Status]]="Closed",tblRisk[[#This Row],[Risk Score With Safeguard in Place]],tblRisk[[#This Row],[Risk Score]])</f>
        <v>8</v>
      </c>
      <c r="BH95" s="192" t="str">
        <f>tblRisk[[#This Row],[Common Security Program]]&amp;tblRisk[[#This Row],[Common Security Control]]&amp;tblRisk[[#This Row],[Asset Designation ]]</f>
        <v>Network ArchitectureGovernanceNetwork</v>
      </c>
      <c r="BI95" s="191"/>
      <c r="BJ95" s="191"/>
      <c r="BK95" s="191"/>
      <c r="BL95" s="191" t="s">
        <v>117</v>
      </c>
      <c r="BM95" s="191" t="s">
        <v>117</v>
      </c>
      <c r="BN95" s="191"/>
      <c r="BO95" s="191" t="s">
        <v>117</v>
      </c>
      <c r="BP95" s="191"/>
      <c r="BQ95" s="191"/>
    </row>
    <row r="96" spans="1:69" ht="126" x14ac:dyDescent="0.65">
      <c r="A96" s="160">
        <v>93</v>
      </c>
      <c r="B96" s="160" t="s">
        <v>899</v>
      </c>
      <c r="C96" s="19" t="s">
        <v>970</v>
      </c>
      <c r="D96" s="28" t="s">
        <v>1214</v>
      </c>
      <c r="E96" s="207" t="s">
        <v>1092</v>
      </c>
      <c r="F96" s="194"/>
      <c r="G96" s="194" t="s">
        <v>117</v>
      </c>
      <c r="H96" s="194" t="s">
        <v>117</v>
      </c>
      <c r="I96" s="194" t="s">
        <v>1080</v>
      </c>
      <c r="J96" s="194" t="s">
        <v>1080</v>
      </c>
      <c r="K96" s="194" t="s">
        <v>1080</v>
      </c>
      <c r="L96" s="194" t="s">
        <v>1080</v>
      </c>
      <c r="M96" s="194" t="s">
        <v>1080</v>
      </c>
      <c r="N96" s="194">
        <f>COUNTIF(tblRisk[[#This Row],[Defends Against Malware]:[Defends Against Targeted Intrusions]],"Yes")</f>
        <v>0</v>
      </c>
      <c r="O96" s="160" t="s">
        <v>24</v>
      </c>
      <c r="P96" s="160" t="s">
        <v>88</v>
      </c>
      <c r="Q96" s="160" t="s">
        <v>30</v>
      </c>
      <c r="R96" s="160" t="s">
        <v>1085</v>
      </c>
      <c r="S96" s="160" t="s">
        <v>1444</v>
      </c>
      <c r="T96" s="160" t="s">
        <v>1443</v>
      </c>
      <c r="U96" s="160" t="s">
        <v>1442</v>
      </c>
      <c r="V96" s="19" t="s">
        <v>1661</v>
      </c>
      <c r="W96" s="160" t="s">
        <v>1709</v>
      </c>
      <c r="X96" s="160" t="s">
        <v>1815</v>
      </c>
      <c r="Y96" s="151">
        <f>IF(ISBLANK(tblRisk[[#This Row],[Threat Cluster]]),"",_xlfn.XLOOKUP(tblRisk[[#This Row],[Threat Cluster]],tblHIT[Threat Cluster],tblHIT[Quintile]))</f>
        <v>2</v>
      </c>
      <c r="Z96" s="152">
        <v>4</v>
      </c>
      <c r="AA96" s="153" t="str">
        <f>IF(OR(ISBLANK(tblRisk[[#This Row],[HIT Quintile]]),ISBLANK(tblRisk[[#This Row],[Control Maturity]])),"",_xlfn.XLOOKUP(tblRisk[[#This Row],[Control Maturity]] &amp; tblRisk[[#This Row],[HIT Quintile]],tblHITWDI[Lookup],tblHITWDI[Likelihood Description]))</f>
        <v>Foreseeable, not expected</v>
      </c>
      <c r="AB96" s="161">
        <f>IF(ISERROR(tblRisk[[#This Row],[Likelihood of Control Failure]]),"",VLOOKUP(tblRisk[[#This Row],[Likelihood of Control Failure]],tblLikelihood[],2,FALSE))</f>
        <v>2</v>
      </c>
      <c r="AC96" s="154">
        <v>3</v>
      </c>
      <c r="AD96" s="155">
        <v>3</v>
      </c>
      <c r="AE96" s="155">
        <v>4</v>
      </c>
      <c r="AF96" s="162">
        <f>IF(ISBLANK(tblRisk[[#This Row],[Impact to Mission]]),"",MAX(tblRisk[[#This Row],[Impact to Mission]:[Impact to Obligations]]))</f>
        <v>4</v>
      </c>
      <c r="AG96" s="163">
        <f>IF(ISERROR(tblRisk[[#This Row],[Impact Score]]*tblRisk[[#This Row],[Likelihood Score]]),"",tblRisk[[#This Row],[Likelihood Score]]*tblRisk[[#This Row],[Impact Score]])</f>
        <v>8</v>
      </c>
      <c r="AH96" s="163">
        <f>tblRisk[[#This Row],[Risk Score]]</f>
        <v>8</v>
      </c>
      <c r="AI96" s="164">
        <f t="shared" si="2"/>
        <v>9</v>
      </c>
      <c r="AJ96" s="164">
        <f>IF(tblRisk[[#This Row],[Safeguard Status]]="In Place",tblRisk[[#This Row],[Control Maturity after SG]],tblRisk[[#This Row],[Control Maturity]])</f>
        <v>4</v>
      </c>
      <c r="AK96" s="173" t="str">
        <f>IF(tblRisk[[#This Row],[Safeguard Status]]="In Place",tblRisk[[#This Row],[Safeguard Threat Cluster]],tblRisk[[#This Row],[Threat Cluster]])</f>
        <v>Hacking System</v>
      </c>
      <c r="AL96" s="164">
        <f>IF(tblRisk[[#This Row],[Safeguard Status]]="In Place",tblRisk[[#This Row],[Risk Level With Safeguard in Place]],tblRisk[[#This Row],[Risk Level]])</f>
        <v>8</v>
      </c>
      <c r="AM96" s="165" t="s">
        <v>1887</v>
      </c>
      <c r="AN96" s="165" t="str">
        <f>IF(tblRisk[[#This Row],[Risk Treatment Option]]="Manage",_xlfn.IFNA(INDEX(tblRiskTreatmentPrograms[#Data],MATCH(tblRisk[[#This Row],[Common Security Program]]&amp;tblRisk[[#This Row],[Common Security Control]],tblRiskTreatmentPrograms[Lookup],0),MATCH($AN$3,tblRiskTreatmentPrograms[#Headers],0)),txtBadRTP),"")</f>
        <v/>
      </c>
      <c r="AO96" s="165" t="str">
        <f>IF(tblRisk[[#This Row],[Risk Treatment Program]]="","",INDEX(tblRiskTreatmentPrograms[#Data],MATCH(tblRisk[[#This Row],[Risk Treatment Program]],tblRiskTreatmentPrograms[Risk Treatment Program],0),MATCH($AO$3,tblRiskTreatmentPrograms[#Headers],0)))</f>
        <v/>
      </c>
      <c r="AP96" s="165"/>
      <c r="AQ9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6" s="19" t="str">
        <f>tblRisk[[#This Row],[Threat Cluster]]</f>
        <v>Hacking System</v>
      </c>
      <c r="AS96" s="156">
        <f>IF(ISBLANK(tblRisk[[#This Row],[Safeguard Threat Cluster]]),"",_xlfn.XLOOKUP(tblRisk[[#This Row],[Safeguard Threat Cluster]],tblHIT[Threat Cluster],tblHIT[Quintile]))</f>
        <v>2</v>
      </c>
      <c r="AT96" s="157">
        <f>_xlfn.SWITCH(tblRisk[[#This Row],[Risk Treatment Option]],"Manage",tblRisk[[#This Row],[Control Maturity]]+1,tblRisk[[#This Row],[Control Maturity]])</f>
        <v>4</v>
      </c>
      <c r="AU9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6" s="166">
        <f>IF(ISERROR(tblRisk[[#This Row],[Likelihood of Control Failure after SG]]),"",VLOOKUP(tblRisk[[#This Row],[Likelihood of Control Failure after SG]],tblLikelihood[#Data],2,FALSE))</f>
        <v>2</v>
      </c>
      <c r="AW96" s="159">
        <f>tblRisk[[#This Row],[Impact to Mission]]</f>
        <v>3</v>
      </c>
      <c r="AX96" s="159">
        <f>tblRisk[[#This Row],[Impact to Objectives]]</f>
        <v>3</v>
      </c>
      <c r="AY96" s="159">
        <f>tblRisk[[#This Row],[Impact to Obligations]]</f>
        <v>4</v>
      </c>
      <c r="AZ96" s="166">
        <f>IF(ISBLANK(tblRisk[[#This Row],[Impact to Mission With Safeguard in Place]]),"",MAX(tblRisk[[#This Row],[Impact to Mission With Safeguard in Place]:[Impact to Obligations With Safeguard in Place]]))</f>
        <v>4</v>
      </c>
      <c r="BA96" s="167">
        <f>IF(ISERROR(tblRisk[[#This Row],[Impact Score with Safeguard in Place]]*tblRisk[[#This Row],[Likelihood Score with Safeguard in Place]]),"",tblRisk[[#This Row],[Impact Score with Safeguard in Place]]*tblRisk[[#This Row],[Likelihood Score with Safeguard in Place]])</f>
        <v>8</v>
      </c>
      <c r="BB96" s="164">
        <f>tblRisk[[#This Row],[Risk Score With Safeguard in Place]]</f>
        <v>8</v>
      </c>
      <c r="BC96" s="168" t="str">
        <f>IF(tblRisk[[#This Row],[Risk Treatment Option]]&lt;&gt;"Accept",IF(_xlfn.XLOOKUP(tblRisk[[#This Row],[Specific Safeguard Recommendation]],ProTrak[Task],ProTrak[Status],"Not Found")="Completed","Pending Validation","Pending"),"")</f>
        <v/>
      </c>
      <c r="BD96" s="169" t="str">
        <f>_xlfn.XLOOKUP(tblRisk[[#This Row],[Risk Treatment Program]],tblRiskTreatmentPrograms[Risk Treatment Program],tblRiskTreatmentPrograms[Estimated End Date (MM/DD/YYYY)],"")</f>
        <v/>
      </c>
      <c r="BE96" s="170"/>
      <c r="BF96" s="171" t="str">
        <f>_xlfn.IFNA(IF(tblRisk[[#This Row],[Due Date]]&lt;=vWhatIfQuarter,"Closed",""),"")</f>
        <v/>
      </c>
      <c r="BG96" s="171">
        <f>IF(tblRisk[[#This Row],[Scenario Builder Status]]="Closed",tblRisk[[#This Row],[Risk Score With Safeguard in Place]],tblRisk[[#This Row],[Risk Score]])</f>
        <v>8</v>
      </c>
      <c r="BH96" s="192" t="str">
        <f>tblRisk[[#This Row],[Common Security Program]]&amp;tblRisk[[#This Row],[Common Security Control]]&amp;tblRisk[[#This Row],[Asset Designation ]]</f>
        <v>Network ArchitectureOperationNetwork</v>
      </c>
      <c r="BI96" s="191"/>
      <c r="BJ96" s="191"/>
      <c r="BK96" s="191"/>
      <c r="BL96" s="191"/>
      <c r="BM96" s="191"/>
      <c r="BN96" s="191"/>
      <c r="BO96" s="191"/>
      <c r="BP96" s="191"/>
      <c r="BQ96" s="191"/>
    </row>
    <row r="97" spans="1:69" ht="78.75" x14ac:dyDescent="0.65">
      <c r="A97" s="160">
        <v>94</v>
      </c>
      <c r="B97" s="160" t="s">
        <v>899</v>
      </c>
      <c r="C97" s="19" t="s">
        <v>1038</v>
      </c>
      <c r="D97" s="28" t="s">
        <v>1215</v>
      </c>
      <c r="E97" s="207" t="s">
        <v>1089</v>
      </c>
      <c r="F97" s="194"/>
      <c r="G97" s="194" t="s">
        <v>117</v>
      </c>
      <c r="H97" s="194" t="s">
        <v>117</v>
      </c>
      <c r="I97" s="194" t="s">
        <v>1080</v>
      </c>
      <c r="J97" s="194" t="s">
        <v>1080</v>
      </c>
      <c r="K97" s="194" t="s">
        <v>1080</v>
      </c>
      <c r="L97" s="194" t="s">
        <v>1080</v>
      </c>
      <c r="M97" s="194" t="s">
        <v>1080</v>
      </c>
      <c r="N97" s="194">
        <f>COUNTIF(tblRisk[[#This Row],[Defends Against Malware]:[Defends Against Targeted Intrusions]],"Yes")</f>
        <v>0</v>
      </c>
      <c r="O97" s="160" t="s">
        <v>24</v>
      </c>
      <c r="P97" s="160" t="s">
        <v>86</v>
      </c>
      <c r="Q97" s="160" t="s">
        <v>30</v>
      </c>
      <c r="R97" s="160" t="s">
        <v>1085</v>
      </c>
      <c r="S97" s="160" t="s">
        <v>1087</v>
      </c>
      <c r="T97" s="160" t="s">
        <v>1441</v>
      </c>
      <c r="U97" s="160" t="s">
        <v>1442</v>
      </c>
      <c r="V97" s="160" t="s">
        <v>1612</v>
      </c>
      <c r="W97" s="160" t="s">
        <v>1709</v>
      </c>
      <c r="X97" s="160" t="s">
        <v>1816</v>
      </c>
      <c r="Y97" s="151">
        <f>IF(ISBLANK(tblRisk[[#This Row],[Threat Cluster]]),"",_xlfn.XLOOKUP(tblRisk[[#This Row],[Threat Cluster]],tblHIT[Threat Cluster],tblHIT[Quintile]))</f>
        <v>2</v>
      </c>
      <c r="Z97" s="152">
        <v>4</v>
      </c>
      <c r="AA97" s="153" t="str">
        <f>IF(OR(ISBLANK(tblRisk[[#This Row],[HIT Quintile]]),ISBLANK(tblRisk[[#This Row],[Control Maturity]])),"",_xlfn.XLOOKUP(tblRisk[[#This Row],[Control Maturity]] &amp; tblRisk[[#This Row],[HIT Quintile]],tblHITWDI[Lookup],tblHITWDI[Likelihood Description]))</f>
        <v>Foreseeable, not expected</v>
      </c>
      <c r="AB97" s="161">
        <f>IF(ISERROR(tblRisk[[#This Row],[Likelihood of Control Failure]]),"",VLOOKUP(tblRisk[[#This Row],[Likelihood of Control Failure]],tblLikelihood[],2,FALSE))</f>
        <v>2</v>
      </c>
      <c r="AC97" s="154">
        <v>3</v>
      </c>
      <c r="AD97" s="155">
        <v>3</v>
      </c>
      <c r="AE97" s="155">
        <v>4</v>
      </c>
      <c r="AF97" s="162">
        <f>IF(ISBLANK(tblRisk[[#This Row],[Impact to Mission]]),"",MAX(tblRisk[[#This Row],[Impact to Mission]:[Impact to Obligations]]))</f>
        <v>4</v>
      </c>
      <c r="AG97" s="163">
        <f>IF(ISERROR(tblRisk[[#This Row],[Impact Score]]*tblRisk[[#This Row],[Likelihood Score]]),"",tblRisk[[#This Row],[Likelihood Score]]*tblRisk[[#This Row],[Impact Score]])</f>
        <v>8</v>
      </c>
      <c r="AH97" s="163">
        <f>tblRisk[[#This Row],[Risk Score]]</f>
        <v>8</v>
      </c>
      <c r="AI97" s="164">
        <f t="shared" si="2"/>
        <v>9</v>
      </c>
      <c r="AJ97" s="164">
        <f>IF(tblRisk[[#This Row],[Safeguard Status]]="In Place",tblRisk[[#This Row],[Control Maturity after SG]],tblRisk[[#This Row],[Control Maturity]])</f>
        <v>4</v>
      </c>
      <c r="AK97" s="173" t="str">
        <f>IF(tblRisk[[#This Row],[Safeguard Status]]="In Place",tblRisk[[#This Row],[Safeguard Threat Cluster]],tblRisk[[#This Row],[Threat Cluster]])</f>
        <v>Hacking System</v>
      </c>
      <c r="AL97" s="164">
        <f>IF(tblRisk[[#This Row],[Safeguard Status]]="In Place",tblRisk[[#This Row],[Risk Level With Safeguard in Place]],tblRisk[[#This Row],[Risk Level]])</f>
        <v>8</v>
      </c>
      <c r="AM97" s="165" t="s">
        <v>1887</v>
      </c>
      <c r="AN97" s="165" t="str">
        <f>IF(tblRisk[[#This Row],[Risk Treatment Option]]="Manage",_xlfn.IFNA(INDEX(tblRiskTreatmentPrograms[#Data],MATCH(tblRisk[[#This Row],[Common Security Program]]&amp;tblRisk[[#This Row],[Common Security Control]],tblRiskTreatmentPrograms[Lookup],0),MATCH($AN$3,tblRiskTreatmentPrograms[#Headers],0)),txtBadRTP),"")</f>
        <v/>
      </c>
      <c r="AO97" s="165" t="str">
        <f>IF(tblRisk[[#This Row],[Risk Treatment Program]]="","",INDEX(tblRiskTreatmentPrograms[#Data],MATCH(tblRisk[[#This Row],[Risk Treatment Program]],tblRiskTreatmentPrograms[Risk Treatment Program],0),MATCH($AO$3,tblRiskTreatmentPrograms[#Headers],0)))</f>
        <v/>
      </c>
      <c r="AP97" s="165"/>
      <c r="AQ9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7" s="19" t="str">
        <f>tblRisk[[#This Row],[Threat Cluster]]</f>
        <v>Hacking System</v>
      </c>
      <c r="AS97" s="156">
        <f>IF(ISBLANK(tblRisk[[#This Row],[Safeguard Threat Cluster]]),"",_xlfn.XLOOKUP(tblRisk[[#This Row],[Safeguard Threat Cluster]],tblHIT[Threat Cluster],tblHIT[Quintile]))</f>
        <v>2</v>
      </c>
      <c r="AT97" s="157">
        <f>_xlfn.SWITCH(tblRisk[[#This Row],[Risk Treatment Option]],"Manage",tblRisk[[#This Row],[Control Maturity]]+1,tblRisk[[#This Row],[Control Maturity]])</f>
        <v>4</v>
      </c>
      <c r="AU9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7" s="166">
        <f>IF(ISERROR(tblRisk[[#This Row],[Likelihood of Control Failure after SG]]),"",VLOOKUP(tblRisk[[#This Row],[Likelihood of Control Failure after SG]],tblLikelihood[#Data],2,FALSE))</f>
        <v>2</v>
      </c>
      <c r="AW97" s="159">
        <f>tblRisk[[#This Row],[Impact to Mission]]</f>
        <v>3</v>
      </c>
      <c r="AX97" s="159">
        <f>tblRisk[[#This Row],[Impact to Objectives]]</f>
        <v>3</v>
      </c>
      <c r="AY97" s="159">
        <f>tblRisk[[#This Row],[Impact to Obligations]]</f>
        <v>4</v>
      </c>
      <c r="AZ97" s="166">
        <f>IF(ISBLANK(tblRisk[[#This Row],[Impact to Mission With Safeguard in Place]]),"",MAX(tblRisk[[#This Row],[Impact to Mission With Safeguard in Place]:[Impact to Obligations With Safeguard in Place]]))</f>
        <v>4</v>
      </c>
      <c r="BA97" s="167">
        <f>IF(ISERROR(tblRisk[[#This Row],[Impact Score with Safeguard in Place]]*tblRisk[[#This Row],[Likelihood Score with Safeguard in Place]]),"",tblRisk[[#This Row],[Impact Score with Safeguard in Place]]*tblRisk[[#This Row],[Likelihood Score with Safeguard in Place]])</f>
        <v>8</v>
      </c>
      <c r="BB97" s="164">
        <f>tblRisk[[#This Row],[Risk Score With Safeguard in Place]]</f>
        <v>8</v>
      </c>
      <c r="BC97" s="168" t="str">
        <f>IF(tblRisk[[#This Row],[Risk Treatment Option]]&lt;&gt;"Accept",IF(_xlfn.XLOOKUP(tblRisk[[#This Row],[Specific Safeguard Recommendation]],ProTrak[Task],ProTrak[Status],"Not Found")="Completed","Pending Validation","Pending"),"")</f>
        <v/>
      </c>
      <c r="BD97" s="169" t="str">
        <f>_xlfn.XLOOKUP(tblRisk[[#This Row],[Risk Treatment Program]],tblRiskTreatmentPrograms[Risk Treatment Program],tblRiskTreatmentPrograms[Estimated End Date (MM/DD/YYYY)],"")</f>
        <v/>
      </c>
      <c r="BE97" s="170"/>
      <c r="BF97" s="171" t="str">
        <f>_xlfn.IFNA(IF(tblRisk[[#This Row],[Due Date]]&lt;=vWhatIfQuarter,"Closed",""),"")</f>
        <v/>
      </c>
      <c r="BG97" s="171">
        <f>IF(tblRisk[[#This Row],[Scenario Builder Status]]="Closed",tblRisk[[#This Row],[Risk Score With Safeguard in Place]],tblRisk[[#This Row],[Risk Score]])</f>
        <v>8</v>
      </c>
      <c r="BH97" s="192" t="str">
        <f>tblRisk[[#This Row],[Common Security Program]]&amp;tblRisk[[#This Row],[Common Security Control]]&amp;tblRisk[[#This Row],[Asset Designation ]]</f>
        <v>Network ArchitectureGovernanceNetwork</v>
      </c>
      <c r="BI97" s="191"/>
      <c r="BJ97" s="191"/>
      <c r="BK97" s="191"/>
      <c r="BL97" s="191"/>
      <c r="BM97" s="191"/>
      <c r="BN97" s="191"/>
      <c r="BO97" s="191"/>
      <c r="BP97" s="191"/>
      <c r="BQ97" s="191"/>
    </row>
    <row r="98" spans="1:69" ht="126" x14ac:dyDescent="0.65">
      <c r="A98" s="160">
        <v>95</v>
      </c>
      <c r="B98" s="160" t="s">
        <v>899</v>
      </c>
      <c r="C98" s="19" t="s">
        <v>971</v>
      </c>
      <c r="D98" s="28" t="s">
        <v>1216</v>
      </c>
      <c r="E98" s="207" t="s">
        <v>1092</v>
      </c>
      <c r="F98" s="194"/>
      <c r="G98" s="194" t="s">
        <v>117</v>
      </c>
      <c r="H98" s="194" t="s">
        <v>117</v>
      </c>
      <c r="I98" s="194" t="s">
        <v>1080</v>
      </c>
      <c r="J98" s="194" t="s">
        <v>1080</v>
      </c>
      <c r="K98" s="194" t="s">
        <v>1080</v>
      </c>
      <c r="L98" s="194" t="s">
        <v>1080</v>
      </c>
      <c r="M98" s="194" t="s">
        <v>1080</v>
      </c>
      <c r="N98" s="194">
        <f>COUNTIF(tblRisk[[#This Row],[Defends Against Malware]:[Defends Against Targeted Intrusions]],"Yes")</f>
        <v>0</v>
      </c>
      <c r="O98" s="160" t="s">
        <v>24</v>
      </c>
      <c r="P98" s="160" t="s">
        <v>88</v>
      </c>
      <c r="Q98" s="160" t="s">
        <v>30</v>
      </c>
      <c r="R98" s="160" t="s">
        <v>1085</v>
      </c>
      <c r="S98" s="160" t="s">
        <v>1444</v>
      </c>
      <c r="T98" s="160" t="s">
        <v>1443</v>
      </c>
      <c r="U98" s="160" t="s">
        <v>1442</v>
      </c>
      <c r="V98" s="19" t="s">
        <v>1662</v>
      </c>
      <c r="W98" s="160" t="s">
        <v>1709</v>
      </c>
      <c r="X98" s="160" t="s">
        <v>1817</v>
      </c>
      <c r="Y98" s="151">
        <f>IF(ISBLANK(tblRisk[[#This Row],[Threat Cluster]]),"",_xlfn.XLOOKUP(tblRisk[[#This Row],[Threat Cluster]],tblHIT[Threat Cluster],tblHIT[Quintile]))</f>
        <v>2</v>
      </c>
      <c r="Z98" s="152">
        <v>4</v>
      </c>
      <c r="AA98" s="153" t="str">
        <f>IF(OR(ISBLANK(tblRisk[[#This Row],[HIT Quintile]]),ISBLANK(tblRisk[[#This Row],[Control Maturity]])),"",_xlfn.XLOOKUP(tblRisk[[#This Row],[Control Maturity]] &amp; tblRisk[[#This Row],[HIT Quintile]],tblHITWDI[Lookup],tblHITWDI[Likelihood Description]))</f>
        <v>Foreseeable, not expected</v>
      </c>
      <c r="AB98" s="161">
        <f>IF(ISERROR(tblRisk[[#This Row],[Likelihood of Control Failure]]),"",VLOOKUP(tblRisk[[#This Row],[Likelihood of Control Failure]],tblLikelihood[],2,FALSE))</f>
        <v>2</v>
      </c>
      <c r="AC98" s="154">
        <v>3</v>
      </c>
      <c r="AD98" s="155">
        <v>3</v>
      </c>
      <c r="AE98" s="155">
        <v>4</v>
      </c>
      <c r="AF98" s="162">
        <f>IF(ISBLANK(tblRisk[[#This Row],[Impact to Mission]]),"",MAX(tblRisk[[#This Row],[Impact to Mission]:[Impact to Obligations]]))</f>
        <v>4</v>
      </c>
      <c r="AG98" s="163">
        <f>IF(ISERROR(tblRisk[[#This Row],[Impact Score]]*tblRisk[[#This Row],[Likelihood Score]]),"",tblRisk[[#This Row],[Likelihood Score]]*tblRisk[[#This Row],[Impact Score]])</f>
        <v>8</v>
      </c>
      <c r="AH98" s="163">
        <f>tblRisk[[#This Row],[Risk Score]]</f>
        <v>8</v>
      </c>
      <c r="AI98" s="164">
        <f t="shared" si="2"/>
        <v>9</v>
      </c>
      <c r="AJ98" s="164">
        <f>IF(tblRisk[[#This Row],[Safeguard Status]]="In Place",tblRisk[[#This Row],[Control Maturity after SG]],tblRisk[[#This Row],[Control Maturity]])</f>
        <v>4</v>
      </c>
      <c r="AK98" s="173" t="str">
        <f>IF(tblRisk[[#This Row],[Safeguard Status]]="In Place",tblRisk[[#This Row],[Safeguard Threat Cluster]],tblRisk[[#This Row],[Threat Cluster]])</f>
        <v>Hacking System</v>
      </c>
      <c r="AL98" s="164">
        <f>IF(tblRisk[[#This Row],[Safeguard Status]]="In Place",tblRisk[[#This Row],[Risk Level With Safeguard in Place]],tblRisk[[#This Row],[Risk Level]])</f>
        <v>8</v>
      </c>
      <c r="AM98" s="165" t="s">
        <v>1887</v>
      </c>
      <c r="AN98" s="165" t="str">
        <f>IF(tblRisk[[#This Row],[Risk Treatment Option]]="Manage",_xlfn.IFNA(INDEX(tblRiskTreatmentPrograms[#Data],MATCH(tblRisk[[#This Row],[Common Security Program]]&amp;tblRisk[[#This Row],[Common Security Control]],tblRiskTreatmentPrograms[Lookup],0),MATCH($AN$3,tblRiskTreatmentPrograms[#Headers],0)),txtBadRTP),"")</f>
        <v/>
      </c>
      <c r="AO98" s="165" t="str">
        <f>IF(tblRisk[[#This Row],[Risk Treatment Program]]="","",INDEX(tblRiskTreatmentPrograms[#Data],MATCH(tblRisk[[#This Row],[Risk Treatment Program]],tblRiskTreatmentPrograms[Risk Treatment Program],0),MATCH($AO$3,tblRiskTreatmentPrograms[#Headers],0)))</f>
        <v/>
      </c>
      <c r="AP98" s="165"/>
      <c r="AQ9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8" s="19" t="str">
        <f>tblRisk[[#This Row],[Threat Cluster]]</f>
        <v>Hacking System</v>
      </c>
      <c r="AS98" s="156">
        <f>IF(ISBLANK(tblRisk[[#This Row],[Safeguard Threat Cluster]]),"",_xlfn.XLOOKUP(tblRisk[[#This Row],[Safeguard Threat Cluster]],tblHIT[Threat Cluster],tblHIT[Quintile]))</f>
        <v>2</v>
      </c>
      <c r="AT98" s="157">
        <f>_xlfn.SWITCH(tblRisk[[#This Row],[Risk Treatment Option]],"Manage",tblRisk[[#This Row],[Control Maturity]]+1,tblRisk[[#This Row],[Control Maturity]])</f>
        <v>4</v>
      </c>
      <c r="AU9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8" s="166">
        <f>IF(ISERROR(tblRisk[[#This Row],[Likelihood of Control Failure after SG]]),"",VLOOKUP(tblRisk[[#This Row],[Likelihood of Control Failure after SG]],tblLikelihood[#Data],2,FALSE))</f>
        <v>2</v>
      </c>
      <c r="AW98" s="159">
        <f>tblRisk[[#This Row],[Impact to Mission]]</f>
        <v>3</v>
      </c>
      <c r="AX98" s="159">
        <f>tblRisk[[#This Row],[Impact to Objectives]]</f>
        <v>3</v>
      </c>
      <c r="AY98" s="159">
        <f>tblRisk[[#This Row],[Impact to Obligations]]</f>
        <v>4</v>
      </c>
      <c r="AZ98" s="166">
        <f>IF(ISBLANK(tblRisk[[#This Row],[Impact to Mission With Safeguard in Place]]),"",MAX(tblRisk[[#This Row],[Impact to Mission With Safeguard in Place]:[Impact to Obligations With Safeguard in Place]]))</f>
        <v>4</v>
      </c>
      <c r="BA98" s="167">
        <f>IF(ISERROR(tblRisk[[#This Row],[Impact Score with Safeguard in Place]]*tblRisk[[#This Row],[Likelihood Score with Safeguard in Place]]),"",tblRisk[[#This Row],[Impact Score with Safeguard in Place]]*tblRisk[[#This Row],[Likelihood Score with Safeguard in Place]])</f>
        <v>8</v>
      </c>
      <c r="BB98" s="164">
        <f>tblRisk[[#This Row],[Risk Score With Safeguard in Place]]</f>
        <v>8</v>
      </c>
      <c r="BC98" s="168" t="str">
        <f>IF(tblRisk[[#This Row],[Risk Treatment Option]]&lt;&gt;"Accept",IF(_xlfn.XLOOKUP(tblRisk[[#This Row],[Specific Safeguard Recommendation]],ProTrak[Task],ProTrak[Status],"Not Found")="Completed","Pending Validation","Pending"),"")</f>
        <v/>
      </c>
      <c r="BD98" s="169" t="str">
        <f>_xlfn.XLOOKUP(tblRisk[[#This Row],[Risk Treatment Program]],tblRiskTreatmentPrograms[Risk Treatment Program],tblRiskTreatmentPrograms[Estimated End Date (MM/DD/YYYY)],"")</f>
        <v/>
      </c>
      <c r="BE98" s="170"/>
      <c r="BF98" s="171" t="str">
        <f>_xlfn.IFNA(IF(tblRisk[[#This Row],[Due Date]]&lt;=vWhatIfQuarter,"Closed",""),"")</f>
        <v/>
      </c>
      <c r="BG98" s="171">
        <f>IF(tblRisk[[#This Row],[Scenario Builder Status]]="Closed",tblRisk[[#This Row],[Risk Score With Safeguard in Place]],tblRisk[[#This Row],[Risk Score]])</f>
        <v>8</v>
      </c>
      <c r="BH98" s="192" t="str">
        <f>tblRisk[[#This Row],[Common Security Program]]&amp;tblRisk[[#This Row],[Common Security Control]]&amp;tblRisk[[#This Row],[Asset Designation ]]</f>
        <v>Network ArchitectureOperationNetwork</v>
      </c>
      <c r="BI98" s="191"/>
      <c r="BJ98" s="191"/>
      <c r="BK98" s="191"/>
      <c r="BL98" s="191"/>
      <c r="BM98" s="191"/>
      <c r="BN98" s="191"/>
      <c r="BO98" s="191"/>
      <c r="BP98" s="191"/>
      <c r="BQ98" s="191"/>
    </row>
    <row r="99" spans="1:69" ht="126" x14ac:dyDescent="0.65">
      <c r="A99" s="160">
        <v>96</v>
      </c>
      <c r="B99" s="160" t="s">
        <v>899</v>
      </c>
      <c r="C99" s="19" t="s">
        <v>972</v>
      </c>
      <c r="D99" s="28" t="s">
        <v>1217</v>
      </c>
      <c r="E99" s="207" t="s">
        <v>1092</v>
      </c>
      <c r="F99" s="194"/>
      <c r="G99" s="194" t="s">
        <v>117</v>
      </c>
      <c r="H99" s="194" t="s">
        <v>117</v>
      </c>
      <c r="I99" s="194" t="s">
        <v>1080</v>
      </c>
      <c r="J99" s="194" t="s">
        <v>1080</v>
      </c>
      <c r="K99" s="194" t="s">
        <v>1080</v>
      </c>
      <c r="L99" s="194" t="s">
        <v>1080</v>
      </c>
      <c r="M99" s="194" t="s">
        <v>1080</v>
      </c>
      <c r="N99" s="194">
        <f>COUNTIF(tblRisk[[#This Row],[Defends Against Malware]:[Defends Against Targeted Intrusions]],"Yes")</f>
        <v>0</v>
      </c>
      <c r="O99" s="160" t="s">
        <v>24</v>
      </c>
      <c r="P99" s="160" t="s">
        <v>88</v>
      </c>
      <c r="Q99" s="160" t="s">
        <v>30</v>
      </c>
      <c r="R99" s="160" t="s">
        <v>1085</v>
      </c>
      <c r="S99" s="160" t="s">
        <v>1444</v>
      </c>
      <c r="T99" s="160" t="s">
        <v>1443</v>
      </c>
      <c r="U99" s="160" t="s">
        <v>1442</v>
      </c>
      <c r="V99" s="19" t="s">
        <v>1613</v>
      </c>
      <c r="W99" s="160" t="s">
        <v>1709</v>
      </c>
      <c r="X99" s="160" t="s">
        <v>1818</v>
      </c>
      <c r="Y99" s="151">
        <f>IF(ISBLANK(tblRisk[[#This Row],[Threat Cluster]]),"",_xlfn.XLOOKUP(tblRisk[[#This Row],[Threat Cluster]],tblHIT[Threat Cluster],tblHIT[Quintile]))</f>
        <v>2</v>
      </c>
      <c r="Z99" s="152">
        <v>4</v>
      </c>
      <c r="AA99" s="153" t="str">
        <f>IF(OR(ISBLANK(tblRisk[[#This Row],[HIT Quintile]]),ISBLANK(tblRisk[[#This Row],[Control Maturity]])),"",_xlfn.XLOOKUP(tblRisk[[#This Row],[Control Maturity]] &amp; tblRisk[[#This Row],[HIT Quintile]],tblHITWDI[Lookup],tblHITWDI[Likelihood Description]))</f>
        <v>Foreseeable, not expected</v>
      </c>
      <c r="AB99" s="161">
        <f>IF(ISERROR(tblRisk[[#This Row],[Likelihood of Control Failure]]),"",VLOOKUP(tblRisk[[#This Row],[Likelihood of Control Failure]],tblLikelihood[],2,FALSE))</f>
        <v>2</v>
      </c>
      <c r="AC99" s="154">
        <v>3</v>
      </c>
      <c r="AD99" s="155">
        <v>3</v>
      </c>
      <c r="AE99" s="155">
        <v>4</v>
      </c>
      <c r="AF99" s="162">
        <f>IF(ISBLANK(tblRisk[[#This Row],[Impact to Mission]]),"",MAX(tblRisk[[#This Row],[Impact to Mission]:[Impact to Obligations]]))</f>
        <v>4</v>
      </c>
      <c r="AG99" s="163">
        <f>IF(ISERROR(tblRisk[[#This Row],[Impact Score]]*tblRisk[[#This Row],[Likelihood Score]]),"",tblRisk[[#This Row],[Likelihood Score]]*tblRisk[[#This Row],[Impact Score]])</f>
        <v>8</v>
      </c>
      <c r="AH99" s="163">
        <f>tblRisk[[#This Row],[Risk Score]]</f>
        <v>8</v>
      </c>
      <c r="AI99" s="164">
        <f t="shared" si="2"/>
        <v>9</v>
      </c>
      <c r="AJ99" s="164">
        <f>IF(tblRisk[[#This Row],[Safeguard Status]]="In Place",tblRisk[[#This Row],[Control Maturity after SG]],tblRisk[[#This Row],[Control Maturity]])</f>
        <v>4</v>
      </c>
      <c r="AK99" s="173" t="str">
        <f>IF(tblRisk[[#This Row],[Safeguard Status]]="In Place",tblRisk[[#This Row],[Safeguard Threat Cluster]],tblRisk[[#This Row],[Threat Cluster]])</f>
        <v>Hacking System</v>
      </c>
      <c r="AL99" s="164">
        <f>IF(tblRisk[[#This Row],[Safeguard Status]]="In Place",tblRisk[[#This Row],[Risk Level With Safeguard in Place]],tblRisk[[#This Row],[Risk Level]])</f>
        <v>8</v>
      </c>
      <c r="AM99" s="165" t="s">
        <v>1887</v>
      </c>
      <c r="AN99" s="165" t="str">
        <f>IF(tblRisk[[#This Row],[Risk Treatment Option]]="Manage",_xlfn.IFNA(INDEX(tblRiskTreatmentPrograms[#Data],MATCH(tblRisk[[#This Row],[Common Security Program]]&amp;tblRisk[[#This Row],[Common Security Control]],tblRiskTreatmentPrograms[Lookup],0),MATCH($AN$3,tblRiskTreatmentPrograms[#Headers],0)),txtBadRTP),"")</f>
        <v/>
      </c>
      <c r="AO99" s="165" t="str">
        <f>IF(tblRisk[[#This Row],[Risk Treatment Program]]="","",INDEX(tblRiskTreatmentPrograms[#Data],MATCH(tblRisk[[#This Row],[Risk Treatment Program]],tblRiskTreatmentPrograms[Risk Treatment Program],0),MATCH($AO$3,tblRiskTreatmentPrograms[#Headers],0)))</f>
        <v/>
      </c>
      <c r="AP99" s="165"/>
      <c r="AQ9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99" s="19" t="str">
        <f>tblRisk[[#This Row],[Threat Cluster]]</f>
        <v>Hacking System</v>
      </c>
      <c r="AS99" s="156">
        <f>IF(ISBLANK(tblRisk[[#This Row],[Safeguard Threat Cluster]]),"",_xlfn.XLOOKUP(tblRisk[[#This Row],[Safeguard Threat Cluster]],tblHIT[Threat Cluster],tblHIT[Quintile]))</f>
        <v>2</v>
      </c>
      <c r="AT99" s="157">
        <f>_xlfn.SWITCH(tblRisk[[#This Row],[Risk Treatment Option]],"Manage",tblRisk[[#This Row],[Control Maturity]]+1,tblRisk[[#This Row],[Control Maturity]])</f>
        <v>4</v>
      </c>
      <c r="AU9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99" s="166">
        <f>IF(ISERROR(tblRisk[[#This Row],[Likelihood of Control Failure after SG]]),"",VLOOKUP(tblRisk[[#This Row],[Likelihood of Control Failure after SG]],tblLikelihood[#Data],2,FALSE))</f>
        <v>2</v>
      </c>
      <c r="AW99" s="159">
        <f>tblRisk[[#This Row],[Impact to Mission]]</f>
        <v>3</v>
      </c>
      <c r="AX99" s="159">
        <f>tblRisk[[#This Row],[Impact to Objectives]]</f>
        <v>3</v>
      </c>
      <c r="AY99" s="159">
        <f>tblRisk[[#This Row],[Impact to Obligations]]</f>
        <v>4</v>
      </c>
      <c r="AZ99" s="166">
        <f>IF(ISBLANK(tblRisk[[#This Row],[Impact to Mission With Safeguard in Place]]),"",MAX(tblRisk[[#This Row],[Impact to Mission With Safeguard in Place]:[Impact to Obligations With Safeguard in Place]]))</f>
        <v>4</v>
      </c>
      <c r="BA99" s="167">
        <f>IF(ISERROR(tblRisk[[#This Row],[Impact Score with Safeguard in Place]]*tblRisk[[#This Row],[Likelihood Score with Safeguard in Place]]),"",tblRisk[[#This Row],[Impact Score with Safeguard in Place]]*tblRisk[[#This Row],[Likelihood Score with Safeguard in Place]])</f>
        <v>8</v>
      </c>
      <c r="BB99" s="164">
        <f>tblRisk[[#This Row],[Risk Score With Safeguard in Place]]</f>
        <v>8</v>
      </c>
      <c r="BC99" s="168" t="str">
        <f>IF(tblRisk[[#This Row],[Risk Treatment Option]]&lt;&gt;"Accept",IF(_xlfn.XLOOKUP(tblRisk[[#This Row],[Specific Safeguard Recommendation]],ProTrak[Task],ProTrak[Status],"Not Found")="Completed","Pending Validation","Pending"),"")</f>
        <v/>
      </c>
      <c r="BD99" s="169" t="str">
        <f>_xlfn.XLOOKUP(tblRisk[[#This Row],[Risk Treatment Program]],tblRiskTreatmentPrograms[Risk Treatment Program],tblRiskTreatmentPrograms[Estimated End Date (MM/DD/YYYY)],"")</f>
        <v/>
      </c>
      <c r="BE99" s="170"/>
      <c r="BF99" s="171" t="str">
        <f>_xlfn.IFNA(IF(tblRisk[[#This Row],[Due Date]]&lt;=vWhatIfQuarter,"Closed",""),"")</f>
        <v/>
      </c>
      <c r="BG99" s="171">
        <f>IF(tblRisk[[#This Row],[Scenario Builder Status]]="Closed",tblRisk[[#This Row],[Risk Score With Safeguard in Place]],tblRisk[[#This Row],[Risk Score]])</f>
        <v>8</v>
      </c>
      <c r="BH99" s="192" t="str">
        <f>tblRisk[[#This Row],[Common Security Program]]&amp;tblRisk[[#This Row],[Common Security Control]]&amp;tblRisk[[#This Row],[Asset Designation ]]</f>
        <v>Network ArchitectureOperationNetwork</v>
      </c>
      <c r="BI99" s="191"/>
      <c r="BJ99" s="191"/>
      <c r="BK99" s="191"/>
      <c r="BL99" s="191"/>
      <c r="BM99" s="191"/>
      <c r="BN99" s="191"/>
      <c r="BO99" s="191"/>
      <c r="BP99" s="191"/>
      <c r="BQ99" s="191"/>
    </row>
    <row r="100" spans="1:69" ht="126" x14ac:dyDescent="0.65">
      <c r="A100" s="160">
        <v>97</v>
      </c>
      <c r="B100" s="160" t="s">
        <v>899</v>
      </c>
      <c r="C100" s="19" t="s">
        <v>973</v>
      </c>
      <c r="D100" s="28" t="s">
        <v>1218</v>
      </c>
      <c r="E100" s="207" t="s">
        <v>1093</v>
      </c>
      <c r="F100" s="194"/>
      <c r="G100" s="194" t="s">
        <v>117</v>
      </c>
      <c r="H100" s="194" t="s">
        <v>117</v>
      </c>
      <c r="I100" s="194" t="s">
        <v>1081</v>
      </c>
      <c r="J100" s="194" t="s">
        <v>1081</v>
      </c>
      <c r="K100" s="194" t="s">
        <v>1081</v>
      </c>
      <c r="L100" s="194" t="s">
        <v>1081</v>
      </c>
      <c r="M100" s="194" t="s">
        <v>1081</v>
      </c>
      <c r="N100" s="194">
        <f>COUNTIF(tblRisk[[#This Row],[Defends Against Malware]:[Defends Against Targeted Intrusions]],"Yes")</f>
        <v>5</v>
      </c>
      <c r="O100" s="160" t="s">
        <v>24</v>
      </c>
      <c r="P100" s="160" t="s">
        <v>88</v>
      </c>
      <c r="Q100" s="160" t="s">
        <v>30</v>
      </c>
      <c r="R100" s="160" t="s">
        <v>1082</v>
      </c>
      <c r="S100" s="160" t="s">
        <v>1444</v>
      </c>
      <c r="T100" s="160" t="s">
        <v>1443</v>
      </c>
      <c r="U100" s="160" t="s">
        <v>1442</v>
      </c>
      <c r="V100" s="19" t="s">
        <v>1663</v>
      </c>
      <c r="W100" s="160" t="s">
        <v>1709</v>
      </c>
      <c r="X100" s="160" t="s">
        <v>1819</v>
      </c>
      <c r="Y100" s="151">
        <f>IF(ISBLANK(tblRisk[[#This Row],[Threat Cluster]]),"",_xlfn.XLOOKUP(tblRisk[[#This Row],[Threat Cluster]],tblHIT[Threat Cluster],tblHIT[Quintile]))</f>
        <v>2</v>
      </c>
      <c r="Z100" s="152">
        <v>4</v>
      </c>
      <c r="AA100" s="153" t="str">
        <f>IF(OR(ISBLANK(tblRisk[[#This Row],[HIT Quintile]]),ISBLANK(tblRisk[[#This Row],[Control Maturity]])),"",_xlfn.XLOOKUP(tblRisk[[#This Row],[Control Maturity]] &amp; tblRisk[[#This Row],[HIT Quintile]],tblHITWDI[Lookup],tblHITWDI[Likelihood Description]))</f>
        <v>Foreseeable, not expected</v>
      </c>
      <c r="AB100" s="161">
        <f>IF(ISERROR(tblRisk[[#This Row],[Likelihood of Control Failure]]),"",VLOOKUP(tblRisk[[#This Row],[Likelihood of Control Failure]],tblLikelihood[],2,FALSE))</f>
        <v>2</v>
      </c>
      <c r="AC100" s="154">
        <v>3</v>
      </c>
      <c r="AD100" s="155">
        <v>3</v>
      </c>
      <c r="AE100" s="155">
        <v>4</v>
      </c>
      <c r="AF100" s="162">
        <f>IF(ISBLANK(tblRisk[[#This Row],[Impact to Mission]]),"",MAX(tblRisk[[#This Row],[Impact to Mission]:[Impact to Obligations]]))</f>
        <v>4</v>
      </c>
      <c r="AG100" s="163">
        <f>IF(ISERROR(tblRisk[[#This Row],[Impact Score]]*tblRisk[[#This Row],[Likelihood Score]]),"",tblRisk[[#This Row],[Likelihood Score]]*tblRisk[[#This Row],[Impact Score]])</f>
        <v>8</v>
      </c>
      <c r="AH100" s="163">
        <f>tblRisk[[#This Row],[Risk Score]]</f>
        <v>8</v>
      </c>
      <c r="AI100" s="164">
        <f t="shared" si="2"/>
        <v>9</v>
      </c>
      <c r="AJ100" s="164">
        <f>IF(tblRisk[[#This Row],[Safeguard Status]]="In Place",tblRisk[[#This Row],[Control Maturity after SG]],tblRisk[[#This Row],[Control Maturity]])</f>
        <v>4</v>
      </c>
      <c r="AK100" s="173" t="str">
        <f>IF(tblRisk[[#This Row],[Safeguard Status]]="In Place",tblRisk[[#This Row],[Safeguard Threat Cluster]],tblRisk[[#This Row],[Threat Cluster]])</f>
        <v>Hacking System</v>
      </c>
      <c r="AL100" s="164">
        <f>IF(tblRisk[[#This Row],[Safeguard Status]]="In Place",tblRisk[[#This Row],[Risk Level With Safeguard in Place]],tblRisk[[#This Row],[Risk Level]])</f>
        <v>8</v>
      </c>
      <c r="AM100" s="165" t="s">
        <v>1887</v>
      </c>
      <c r="AN100" s="165" t="str">
        <f>IF(tblRisk[[#This Row],[Risk Treatment Option]]="Manage",_xlfn.IFNA(INDEX(tblRiskTreatmentPrograms[#Data],MATCH(tblRisk[[#This Row],[Common Security Program]]&amp;tblRisk[[#This Row],[Common Security Control]],tblRiskTreatmentPrograms[Lookup],0),MATCH($AN$3,tblRiskTreatmentPrograms[#Headers],0)),txtBadRTP),"")</f>
        <v/>
      </c>
      <c r="AO100" s="165" t="str">
        <f>IF(tblRisk[[#This Row],[Risk Treatment Program]]="","",INDEX(tblRiskTreatmentPrograms[#Data],MATCH(tblRisk[[#This Row],[Risk Treatment Program]],tblRiskTreatmentPrograms[Risk Treatment Program],0),MATCH($AO$3,tblRiskTreatmentPrograms[#Headers],0)))</f>
        <v/>
      </c>
      <c r="AP100" s="165"/>
      <c r="AQ10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0" s="19" t="str">
        <f>tblRisk[[#This Row],[Threat Cluster]]</f>
        <v>Hacking System</v>
      </c>
      <c r="AS100" s="156">
        <f>IF(ISBLANK(tblRisk[[#This Row],[Safeguard Threat Cluster]]),"",_xlfn.XLOOKUP(tblRisk[[#This Row],[Safeguard Threat Cluster]],tblHIT[Threat Cluster],tblHIT[Quintile]))</f>
        <v>2</v>
      </c>
      <c r="AT100" s="157">
        <f>_xlfn.SWITCH(tblRisk[[#This Row],[Risk Treatment Option]],"Manage",tblRisk[[#This Row],[Control Maturity]]+1,tblRisk[[#This Row],[Control Maturity]])</f>
        <v>4</v>
      </c>
      <c r="AU10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00" s="166">
        <f>IF(ISERROR(tblRisk[[#This Row],[Likelihood of Control Failure after SG]]),"",VLOOKUP(tblRisk[[#This Row],[Likelihood of Control Failure after SG]],tblLikelihood[#Data],2,FALSE))</f>
        <v>2</v>
      </c>
      <c r="AW100" s="159">
        <f>tblRisk[[#This Row],[Impact to Mission]]</f>
        <v>3</v>
      </c>
      <c r="AX100" s="159">
        <f>tblRisk[[#This Row],[Impact to Objectives]]</f>
        <v>3</v>
      </c>
      <c r="AY100" s="159">
        <f>tblRisk[[#This Row],[Impact to Obligations]]</f>
        <v>4</v>
      </c>
      <c r="AZ100" s="166">
        <f>IF(ISBLANK(tblRisk[[#This Row],[Impact to Mission With Safeguard in Place]]),"",MAX(tblRisk[[#This Row],[Impact to Mission With Safeguard in Place]:[Impact to Obligations With Safeguard in Place]]))</f>
        <v>4</v>
      </c>
      <c r="BA100" s="167">
        <f>IF(ISERROR(tblRisk[[#This Row],[Impact Score with Safeguard in Place]]*tblRisk[[#This Row],[Likelihood Score with Safeguard in Place]]),"",tblRisk[[#This Row],[Impact Score with Safeguard in Place]]*tblRisk[[#This Row],[Likelihood Score with Safeguard in Place]])</f>
        <v>8</v>
      </c>
      <c r="BB100" s="164">
        <f>tblRisk[[#This Row],[Risk Score With Safeguard in Place]]</f>
        <v>8</v>
      </c>
      <c r="BC100" s="168" t="str">
        <f>IF(tblRisk[[#This Row],[Risk Treatment Option]]&lt;&gt;"Accept",IF(_xlfn.XLOOKUP(tblRisk[[#This Row],[Specific Safeguard Recommendation]],ProTrak[Task],ProTrak[Status],"Not Found")="Completed","Pending Validation","Pending"),"")</f>
        <v/>
      </c>
      <c r="BD100" s="169" t="str">
        <f>_xlfn.XLOOKUP(tblRisk[[#This Row],[Risk Treatment Program]],tblRiskTreatmentPrograms[Risk Treatment Program],tblRiskTreatmentPrograms[Estimated End Date (MM/DD/YYYY)],"")</f>
        <v/>
      </c>
      <c r="BE100" s="170"/>
      <c r="BF100" s="171" t="str">
        <f>_xlfn.IFNA(IF(tblRisk[[#This Row],[Due Date]]&lt;=vWhatIfQuarter,"Closed",""),"")</f>
        <v/>
      </c>
      <c r="BG100" s="171">
        <f>IF(tblRisk[[#This Row],[Scenario Builder Status]]="Closed",tblRisk[[#This Row],[Risk Score With Safeguard in Place]],tblRisk[[#This Row],[Risk Score]])</f>
        <v>8</v>
      </c>
      <c r="BH100" s="192" t="str">
        <f>tblRisk[[#This Row],[Common Security Program]]&amp;tblRisk[[#This Row],[Common Security Control]]&amp;tblRisk[[#This Row],[Asset Designation ]]</f>
        <v>Network ArchitectureOperationDevices</v>
      </c>
      <c r="BI100" s="191"/>
      <c r="BJ100" s="191"/>
      <c r="BK100" s="191"/>
      <c r="BL100" s="191" t="s">
        <v>117</v>
      </c>
      <c r="BM100" s="191" t="s">
        <v>117</v>
      </c>
      <c r="BN100" s="191"/>
      <c r="BO100" s="191" t="s">
        <v>117</v>
      </c>
      <c r="BP100" s="191"/>
      <c r="BQ100" s="191"/>
    </row>
    <row r="101" spans="1:69" ht="63" x14ac:dyDescent="0.65">
      <c r="A101" s="160">
        <v>98</v>
      </c>
      <c r="B101" s="160" t="s">
        <v>899</v>
      </c>
      <c r="C101" s="19" t="s">
        <v>1039</v>
      </c>
      <c r="D101" s="28" t="s">
        <v>1219</v>
      </c>
      <c r="E101" s="207" t="s">
        <v>1093</v>
      </c>
      <c r="F101" s="194"/>
      <c r="G101" s="194"/>
      <c r="H101" s="194" t="s">
        <v>117</v>
      </c>
      <c r="I101" s="194" t="s">
        <v>1081</v>
      </c>
      <c r="J101" s="194" t="s">
        <v>1081</v>
      </c>
      <c r="K101" s="194" t="s">
        <v>1081</v>
      </c>
      <c r="L101" s="194" t="s">
        <v>1081</v>
      </c>
      <c r="M101" s="194" t="s">
        <v>1081</v>
      </c>
      <c r="N101" s="194">
        <f>COUNTIF(tblRisk[[#This Row],[Defends Against Malware]:[Defends Against Targeted Intrusions]],"Yes")</f>
        <v>5</v>
      </c>
      <c r="O101" s="160" t="s">
        <v>24</v>
      </c>
      <c r="P101" s="160" t="s">
        <v>86</v>
      </c>
      <c r="Q101" s="160" t="s">
        <v>33</v>
      </c>
      <c r="R101" s="160" t="s">
        <v>1082</v>
      </c>
      <c r="S101" s="160" t="s">
        <v>1087</v>
      </c>
      <c r="T101" s="160" t="s">
        <v>1441</v>
      </c>
      <c r="U101" s="160" t="s">
        <v>1442</v>
      </c>
      <c r="V101" s="19" t="s">
        <v>1664</v>
      </c>
      <c r="W101" s="160" t="s">
        <v>1709</v>
      </c>
      <c r="X101" s="160" t="s">
        <v>1820</v>
      </c>
      <c r="Y101" s="151">
        <f>IF(ISBLANK(tblRisk[[#This Row],[Threat Cluster]]),"",_xlfn.XLOOKUP(tblRisk[[#This Row],[Threat Cluster]],tblHIT[Threat Cluster],tblHIT[Quintile]))</f>
        <v>2</v>
      </c>
      <c r="Z101" s="152">
        <v>4</v>
      </c>
      <c r="AA101" s="153" t="str">
        <f>IF(OR(ISBLANK(tblRisk[[#This Row],[HIT Quintile]]),ISBLANK(tblRisk[[#This Row],[Control Maturity]])),"",_xlfn.XLOOKUP(tblRisk[[#This Row],[Control Maturity]] &amp; tblRisk[[#This Row],[HIT Quintile]],tblHITWDI[Lookup],tblHITWDI[Likelihood Description]))</f>
        <v>Foreseeable, not expected</v>
      </c>
      <c r="AB101" s="161">
        <f>IF(ISERROR(tblRisk[[#This Row],[Likelihood of Control Failure]]),"",VLOOKUP(tblRisk[[#This Row],[Likelihood of Control Failure]],tblLikelihood[],2,FALSE))</f>
        <v>2</v>
      </c>
      <c r="AC101" s="154">
        <v>3</v>
      </c>
      <c r="AD101" s="155">
        <v>3</v>
      </c>
      <c r="AE101" s="155">
        <v>4</v>
      </c>
      <c r="AF101" s="162">
        <f>IF(ISBLANK(tblRisk[[#This Row],[Impact to Mission]]),"",MAX(tblRisk[[#This Row],[Impact to Mission]:[Impact to Obligations]]))</f>
        <v>4</v>
      </c>
      <c r="AG101" s="163">
        <f>IF(ISERROR(tblRisk[[#This Row],[Impact Score]]*tblRisk[[#This Row],[Likelihood Score]]),"",tblRisk[[#This Row],[Likelihood Score]]*tblRisk[[#This Row],[Impact Score]])</f>
        <v>8</v>
      </c>
      <c r="AH101" s="163">
        <f>tblRisk[[#This Row],[Risk Score]]</f>
        <v>8</v>
      </c>
      <c r="AI101" s="164">
        <f t="shared" si="2"/>
        <v>9</v>
      </c>
      <c r="AJ101" s="164">
        <f>IF(tblRisk[[#This Row],[Safeguard Status]]="In Place",tblRisk[[#This Row],[Control Maturity after SG]],tblRisk[[#This Row],[Control Maturity]])</f>
        <v>4</v>
      </c>
      <c r="AK101" s="173" t="str">
        <f>IF(tblRisk[[#This Row],[Safeguard Status]]="In Place",tblRisk[[#This Row],[Safeguard Threat Cluster]],tblRisk[[#This Row],[Threat Cluster]])</f>
        <v>Personnel Error</v>
      </c>
      <c r="AL101" s="164">
        <f>IF(tblRisk[[#This Row],[Safeguard Status]]="In Place",tblRisk[[#This Row],[Risk Level With Safeguard in Place]],tblRisk[[#This Row],[Risk Level]])</f>
        <v>8</v>
      </c>
      <c r="AM101" s="165" t="s">
        <v>1887</v>
      </c>
      <c r="AN101" s="165" t="str">
        <f>IF(tblRisk[[#This Row],[Risk Treatment Option]]="Manage",_xlfn.IFNA(INDEX(tblRiskTreatmentPrograms[#Data],MATCH(tblRisk[[#This Row],[Common Security Program]]&amp;tblRisk[[#This Row],[Common Security Control]],tblRiskTreatmentPrograms[Lookup],0),MATCH($AN$3,tblRiskTreatmentPrograms[#Headers],0)),txtBadRTP),"")</f>
        <v/>
      </c>
      <c r="AO101" s="165" t="str">
        <f>IF(tblRisk[[#This Row],[Risk Treatment Program]]="","",INDEX(tblRiskTreatmentPrograms[#Data],MATCH(tblRisk[[#This Row],[Risk Treatment Program]],tblRiskTreatmentPrograms[Risk Treatment Program],0),MATCH($AO$3,tblRiskTreatmentPrograms[#Headers],0)))</f>
        <v/>
      </c>
      <c r="AP101" s="165"/>
      <c r="AQ10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1" s="19" t="str">
        <f>tblRisk[[#This Row],[Threat Cluster]]</f>
        <v>Personnel Error</v>
      </c>
      <c r="AS101" s="156">
        <f>IF(ISBLANK(tblRisk[[#This Row],[Safeguard Threat Cluster]]),"",_xlfn.XLOOKUP(tblRisk[[#This Row],[Safeguard Threat Cluster]],tblHIT[Threat Cluster],tblHIT[Quintile]))</f>
        <v>2</v>
      </c>
      <c r="AT101" s="157">
        <f>_xlfn.SWITCH(tblRisk[[#This Row],[Risk Treatment Option]],"Manage",tblRisk[[#This Row],[Control Maturity]]+1,tblRisk[[#This Row],[Control Maturity]])</f>
        <v>4</v>
      </c>
      <c r="AU10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01" s="166">
        <f>IF(ISERROR(tblRisk[[#This Row],[Likelihood of Control Failure after SG]]),"",VLOOKUP(tblRisk[[#This Row],[Likelihood of Control Failure after SG]],tblLikelihood[#Data],2,FALSE))</f>
        <v>2</v>
      </c>
      <c r="AW101" s="159">
        <f>tblRisk[[#This Row],[Impact to Mission]]</f>
        <v>3</v>
      </c>
      <c r="AX101" s="159">
        <f>tblRisk[[#This Row],[Impact to Objectives]]</f>
        <v>3</v>
      </c>
      <c r="AY101" s="159">
        <f>tblRisk[[#This Row],[Impact to Obligations]]</f>
        <v>4</v>
      </c>
      <c r="AZ101" s="166">
        <f>IF(ISBLANK(tblRisk[[#This Row],[Impact to Mission With Safeguard in Place]]),"",MAX(tblRisk[[#This Row],[Impact to Mission With Safeguard in Place]:[Impact to Obligations With Safeguard in Place]]))</f>
        <v>4</v>
      </c>
      <c r="BA101" s="167">
        <f>IF(ISERROR(tblRisk[[#This Row],[Impact Score with Safeguard in Place]]*tblRisk[[#This Row],[Likelihood Score with Safeguard in Place]]),"",tblRisk[[#This Row],[Impact Score with Safeguard in Place]]*tblRisk[[#This Row],[Likelihood Score with Safeguard in Place]])</f>
        <v>8</v>
      </c>
      <c r="BB101" s="164">
        <f>tblRisk[[#This Row],[Risk Score With Safeguard in Place]]</f>
        <v>8</v>
      </c>
      <c r="BC101" s="168" t="str">
        <f>IF(tblRisk[[#This Row],[Risk Treatment Option]]&lt;&gt;"Accept",IF(_xlfn.XLOOKUP(tblRisk[[#This Row],[Specific Safeguard Recommendation]],ProTrak[Task],ProTrak[Status],"Not Found")="Completed","Pending Validation","Pending"),"")</f>
        <v/>
      </c>
      <c r="BD101" s="169" t="str">
        <f>_xlfn.XLOOKUP(tblRisk[[#This Row],[Risk Treatment Program]],tblRiskTreatmentPrograms[Risk Treatment Program],tblRiskTreatmentPrograms[Estimated End Date (MM/DD/YYYY)],"")</f>
        <v/>
      </c>
      <c r="BE101" s="170"/>
      <c r="BF101" s="171" t="str">
        <f>_xlfn.IFNA(IF(tblRisk[[#This Row],[Due Date]]&lt;=vWhatIfQuarter,"Closed",""),"")</f>
        <v/>
      </c>
      <c r="BG101" s="171">
        <f>IF(tblRisk[[#This Row],[Scenario Builder Status]]="Closed",tblRisk[[#This Row],[Risk Score With Safeguard in Place]],tblRisk[[#This Row],[Risk Score]])</f>
        <v>8</v>
      </c>
      <c r="BH101" s="192" t="str">
        <f>tblRisk[[#This Row],[Common Security Program]]&amp;tblRisk[[#This Row],[Common Security Control]]&amp;tblRisk[[#This Row],[Asset Designation ]]</f>
        <v>Network ArchitectureGovernanceDevices</v>
      </c>
      <c r="BI101" s="191"/>
      <c r="BJ101" s="191"/>
      <c r="BK101" s="191"/>
      <c r="BL101" s="191" t="s">
        <v>117</v>
      </c>
      <c r="BM101" s="191" t="s">
        <v>117</v>
      </c>
      <c r="BN101" s="191"/>
      <c r="BO101" s="191" t="s">
        <v>117</v>
      </c>
      <c r="BP101" s="191"/>
      <c r="BQ101" s="191"/>
    </row>
    <row r="102" spans="1:69" ht="267.75" x14ac:dyDescent="0.65">
      <c r="A102" s="160">
        <v>99</v>
      </c>
      <c r="B102" s="160" t="s">
        <v>899</v>
      </c>
      <c r="C102" s="19" t="s">
        <v>974</v>
      </c>
      <c r="D102" s="28" t="s">
        <v>1220</v>
      </c>
      <c r="E102" s="207" t="s">
        <v>1091</v>
      </c>
      <c r="F102" s="194"/>
      <c r="G102" s="194" t="s">
        <v>117</v>
      </c>
      <c r="H102" s="194" t="s">
        <v>117</v>
      </c>
      <c r="I102" s="194" t="s">
        <v>1080</v>
      </c>
      <c r="J102" s="194" t="s">
        <v>1080</v>
      </c>
      <c r="K102" s="194" t="s">
        <v>1080</v>
      </c>
      <c r="L102" s="194" t="s">
        <v>1080</v>
      </c>
      <c r="M102" s="194" t="s">
        <v>1080</v>
      </c>
      <c r="N102" s="194">
        <f>COUNTIF(tblRisk[[#This Row],[Defends Against Malware]:[Defends Against Targeted Intrusions]],"Yes")</f>
        <v>0</v>
      </c>
      <c r="O102" s="160" t="s">
        <v>21</v>
      </c>
      <c r="P102" s="160" t="s">
        <v>88</v>
      </c>
      <c r="Q102" s="160" t="s">
        <v>30</v>
      </c>
      <c r="R102" s="160" t="s">
        <v>1085</v>
      </c>
      <c r="S102" s="160" t="s">
        <v>1426</v>
      </c>
      <c r="T102" s="160" t="s">
        <v>1425</v>
      </c>
      <c r="U102" s="19" t="s">
        <v>1906</v>
      </c>
      <c r="V102" s="19" t="s">
        <v>1665</v>
      </c>
      <c r="W102" s="160" t="s">
        <v>1709</v>
      </c>
      <c r="X102" s="160" t="s">
        <v>1821</v>
      </c>
      <c r="Y102" s="151">
        <f>IF(ISBLANK(tblRisk[[#This Row],[Threat Cluster]]),"",_xlfn.XLOOKUP(tblRisk[[#This Row],[Threat Cluster]],tblHIT[Threat Cluster],tblHIT[Quintile]))</f>
        <v>2</v>
      </c>
      <c r="Z102" s="152">
        <v>4</v>
      </c>
      <c r="AA102" s="153" t="str">
        <f>IF(OR(ISBLANK(tblRisk[[#This Row],[HIT Quintile]]),ISBLANK(tblRisk[[#This Row],[Control Maturity]])),"",_xlfn.XLOOKUP(tblRisk[[#This Row],[Control Maturity]] &amp; tblRisk[[#This Row],[HIT Quintile]],tblHITWDI[Lookup],tblHITWDI[Likelihood Description]))</f>
        <v>Foreseeable, not expected</v>
      </c>
      <c r="AB102" s="161">
        <f>IF(ISERROR(tblRisk[[#This Row],[Likelihood of Control Failure]]),"",VLOOKUP(tblRisk[[#This Row],[Likelihood of Control Failure]],tblLikelihood[],2,FALSE))</f>
        <v>2</v>
      </c>
      <c r="AC102" s="154">
        <v>3</v>
      </c>
      <c r="AD102" s="155">
        <v>3</v>
      </c>
      <c r="AE102" s="155">
        <v>4</v>
      </c>
      <c r="AF102" s="162">
        <f>IF(ISBLANK(tblRisk[[#This Row],[Impact to Mission]]),"",MAX(tblRisk[[#This Row],[Impact to Mission]:[Impact to Obligations]]))</f>
        <v>4</v>
      </c>
      <c r="AG102" s="163">
        <f>IF(ISERROR(tblRisk[[#This Row],[Impact Score]]*tblRisk[[#This Row],[Likelihood Score]]),"",tblRisk[[#This Row],[Likelihood Score]]*tblRisk[[#This Row],[Impact Score]])</f>
        <v>8</v>
      </c>
      <c r="AH102" s="163">
        <f>tblRisk[[#This Row],[Risk Score]]</f>
        <v>8</v>
      </c>
      <c r="AI102" s="164">
        <f t="shared" si="2"/>
        <v>9</v>
      </c>
      <c r="AJ102" s="164">
        <f>IF(tblRisk[[#This Row],[Safeguard Status]]="In Place",tblRisk[[#This Row],[Control Maturity after SG]],tblRisk[[#This Row],[Control Maturity]])</f>
        <v>4</v>
      </c>
      <c r="AK102" s="173" t="str">
        <f>IF(tblRisk[[#This Row],[Safeguard Status]]="In Place",tblRisk[[#This Row],[Safeguard Threat Cluster]],tblRisk[[#This Row],[Threat Cluster]])</f>
        <v>Hacking System</v>
      </c>
      <c r="AL102" s="164">
        <f>IF(tblRisk[[#This Row],[Safeguard Status]]="In Place",tblRisk[[#This Row],[Risk Level With Safeguard in Place]],tblRisk[[#This Row],[Risk Level]])</f>
        <v>8</v>
      </c>
      <c r="AM102" s="165" t="s">
        <v>1887</v>
      </c>
      <c r="AN102" s="165" t="str">
        <f>IF(tblRisk[[#This Row],[Risk Treatment Option]]="Manage",_xlfn.IFNA(INDEX(tblRiskTreatmentPrograms[#Data],MATCH(tblRisk[[#This Row],[Common Security Program]]&amp;tblRisk[[#This Row],[Common Security Control]],tblRiskTreatmentPrograms[Lookup],0),MATCH($AN$3,tblRiskTreatmentPrograms[#Headers],0)),txtBadRTP),"")</f>
        <v/>
      </c>
      <c r="AO102" s="165" t="str">
        <f>IF(tblRisk[[#This Row],[Risk Treatment Program]]="","",INDEX(tblRiskTreatmentPrograms[#Data],MATCH(tblRisk[[#This Row],[Risk Treatment Program]],tblRiskTreatmentPrograms[Risk Treatment Program],0),MATCH($AO$3,tblRiskTreatmentPrograms[#Headers],0)))</f>
        <v/>
      </c>
      <c r="AP102" s="165"/>
      <c r="AQ10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2" s="19" t="str">
        <f>tblRisk[[#This Row],[Threat Cluster]]</f>
        <v>Hacking System</v>
      </c>
      <c r="AS102" s="156">
        <f>IF(ISBLANK(tblRisk[[#This Row],[Safeguard Threat Cluster]]),"",_xlfn.XLOOKUP(tblRisk[[#This Row],[Safeguard Threat Cluster]],tblHIT[Threat Cluster],tblHIT[Quintile]))</f>
        <v>2</v>
      </c>
      <c r="AT102" s="157">
        <f>_xlfn.SWITCH(tblRisk[[#This Row],[Risk Treatment Option]],"Manage",tblRisk[[#This Row],[Control Maturity]]+1,tblRisk[[#This Row],[Control Maturity]])</f>
        <v>4</v>
      </c>
      <c r="AU10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02" s="166">
        <f>IF(ISERROR(tblRisk[[#This Row],[Likelihood of Control Failure after SG]]),"",VLOOKUP(tblRisk[[#This Row],[Likelihood of Control Failure after SG]],tblLikelihood[#Data],2,FALSE))</f>
        <v>2</v>
      </c>
      <c r="AW102" s="159">
        <f>tblRisk[[#This Row],[Impact to Mission]]</f>
        <v>3</v>
      </c>
      <c r="AX102" s="159">
        <f>tblRisk[[#This Row],[Impact to Objectives]]</f>
        <v>3</v>
      </c>
      <c r="AY102" s="159">
        <f>tblRisk[[#This Row],[Impact to Obligations]]</f>
        <v>4</v>
      </c>
      <c r="AZ102" s="166">
        <f>IF(ISBLANK(tblRisk[[#This Row],[Impact to Mission With Safeguard in Place]]),"",MAX(tblRisk[[#This Row],[Impact to Mission With Safeguard in Place]:[Impact to Obligations With Safeguard in Place]]))</f>
        <v>4</v>
      </c>
      <c r="BA102" s="167">
        <f>IF(ISERROR(tblRisk[[#This Row],[Impact Score with Safeguard in Place]]*tblRisk[[#This Row],[Likelihood Score with Safeguard in Place]]),"",tblRisk[[#This Row],[Impact Score with Safeguard in Place]]*tblRisk[[#This Row],[Likelihood Score with Safeguard in Place]])</f>
        <v>8</v>
      </c>
      <c r="BB102" s="164">
        <f>tblRisk[[#This Row],[Risk Score With Safeguard in Place]]</f>
        <v>8</v>
      </c>
      <c r="BC102" s="168" t="str">
        <f>IF(tblRisk[[#This Row],[Risk Treatment Option]]&lt;&gt;"Accept",IF(_xlfn.XLOOKUP(tblRisk[[#This Row],[Specific Safeguard Recommendation]],ProTrak[Task],ProTrak[Status],"Not Found")="Completed","Pending Validation","Pending"),"")</f>
        <v/>
      </c>
      <c r="BD102" s="169" t="str">
        <f>_xlfn.XLOOKUP(tblRisk[[#This Row],[Risk Treatment Program]],tblRiskTreatmentPrograms[Risk Treatment Program],tblRiskTreatmentPrograms[Estimated End Date (MM/DD/YYYY)],"")</f>
        <v/>
      </c>
      <c r="BE102" s="170"/>
      <c r="BF102" s="171" t="str">
        <f>_xlfn.IFNA(IF(tblRisk[[#This Row],[Due Date]]&lt;=vWhatIfQuarter,"Closed",""),"")</f>
        <v/>
      </c>
      <c r="BG102" s="171">
        <f>IF(tblRisk[[#This Row],[Scenario Builder Status]]="Closed",tblRisk[[#This Row],[Risk Score With Safeguard in Place]],tblRisk[[#This Row],[Risk Score]])</f>
        <v>8</v>
      </c>
      <c r="BH102" s="192" t="str">
        <f>tblRisk[[#This Row],[Common Security Program]]&amp;tblRisk[[#This Row],[Common Security Control]]&amp;tblRisk[[#This Row],[Asset Designation ]]</f>
        <v>Monitoring &amp; LoggingOperationNetwork</v>
      </c>
      <c r="BI102" s="191"/>
      <c r="BJ102" s="191"/>
      <c r="BK102" s="191"/>
      <c r="BL102" s="191"/>
      <c r="BM102" s="191"/>
      <c r="BN102" s="191"/>
      <c r="BO102" s="191"/>
      <c r="BP102" s="191"/>
      <c r="BQ102" s="191"/>
    </row>
    <row r="103" spans="1:69" ht="299.25" x14ac:dyDescent="0.65">
      <c r="A103" s="160">
        <v>100</v>
      </c>
      <c r="B103" s="160" t="s">
        <v>899</v>
      </c>
      <c r="C103" s="19" t="s">
        <v>975</v>
      </c>
      <c r="D103" s="28" t="s">
        <v>1221</v>
      </c>
      <c r="E103" s="207" t="s">
        <v>1092</v>
      </c>
      <c r="F103" s="194"/>
      <c r="G103" s="194" t="s">
        <v>117</v>
      </c>
      <c r="H103" s="194" t="s">
        <v>117</v>
      </c>
      <c r="I103" s="194" t="s">
        <v>1081</v>
      </c>
      <c r="J103" s="194" t="s">
        <v>1081</v>
      </c>
      <c r="K103" s="194" t="s">
        <v>1081</v>
      </c>
      <c r="L103" s="194" t="s">
        <v>1081</v>
      </c>
      <c r="M103" s="194" t="s">
        <v>1081</v>
      </c>
      <c r="N103" s="194">
        <f>COUNTIF(tblRisk[[#This Row],[Defends Against Malware]:[Defends Against Targeted Intrusions]],"Yes")</f>
        <v>5</v>
      </c>
      <c r="O103" s="160" t="s">
        <v>22</v>
      </c>
      <c r="P103" s="160" t="s">
        <v>88</v>
      </c>
      <c r="Q103" s="160" t="s">
        <v>611</v>
      </c>
      <c r="R103" s="160" t="s">
        <v>1082</v>
      </c>
      <c r="S103" s="160" t="s">
        <v>1431</v>
      </c>
      <c r="T103" s="160" t="s">
        <v>1429</v>
      </c>
      <c r="U103" s="160" t="s">
        <v>1430</v>
      </c>
      <c r="V103" s="19" t="s">
        <v>1666</v>
      </c>
      <c r="W103" s="160" t="s">
        <v>1709</v>
      </c>
      <c r="X103" s="160" t="s">
        <v>1822</v>
      </c>
      <c r="Y103" s="151">
        <f>IF(ISBLANK(tblRisk[[#This Row],[Threat Cluster]]),"",_xlfn.XLOOKUP(tblRisk[[#This Row],[Threat Cluster]],tblHIT[Threat Cluster],tblHIT[Quintile]))</f>
        <v>3</v>
      </c>
      <c r="Z103" s="152">
        <v>5</v>
      </c>
      <c r="AA103" s="153" t="str">
        <f>IF(OR(ISBLANK(tblRisk[[#This Row],[HIT Quintile]]),ISBLANK(tblRisk[[#This Row],[Control Maturity]])),"",_xlfn.XLOOKUP(tblRisk[[#This Row],[Control Maturity]] &amp; tblRisk[[#This Row],[HIT Quintile]],tblHITWDI[Lookup],tblHITWDI[Likelihood Description]))</f>
        <v>Not Foreseeable</v>
      </c>
      <c r="AB103" s="161">
        <f>IF(ISERROR(tblRisk[[#This Row],[Likelihood of Control Failure]]),"",VLOOKUP(tblRisk[[#This Row],[Likelihood of Control Failure]],tblLikelihood[],2,FALSE))</f>
        <v>1</v>
      </c>
      <c r="AC103" s="154">
        <v>3</v>
      </c>
      <c r="AD103" s="155">
        <v>3</v>
      </c>
      <c r="AE103" s="155">
        <v>4</v>
      </c>
      <c r="AF103" s="162">
        <f>IF(ISBLANK(tblRisk[[#This Row],[Impact to Mission]]),"",MAX(tblRisk[[#This Row],[Impact to Mission]:[Impact to Obligations]]))</f>
        <v>4</v>
      </c>
      <c r="AG103" s="163">
        <f>IF(ISERROR(tblRisk[[#This Row],[Impact Score]]*tblRisk[[#This Row],[Likelihood Score]]),"",tblRisk[[#This Row],[Likelihood Score]]*tblRisk[[#This Row],[Impact Score]])</f>
        <v>4</v>
      </c>
      <c r="AH103" s="163">
        <f>tblRisk[[#This Row],[Risk Score]]</f>
        <v>4</v>
      </c>
      <c r="AI103" s="164">
        <f t="shared" si="2"/>
        <v>9</v>
      </c>
      <c r="AJ103" s="164">
        <f>IF(tblRisk[[#This Row],[Safeguard Status]]="In Place",tblRisk[[#This Row],[Control Maturity after SG]],tblRisk[[#This Row],[Control Maturity]])</f>
        <v>5</v>
      </c>
      <c r="AK103" s="173" t="str">
        <f>IF(tblRisk[[#This Row],[Safeguard Status]]="In Place",tblRisk[[#This Row],[Safeguard Threat Cluster]],tblRisk[[#This Row],[Threat Cluster]])</f>
        <v>Physical Facility</v>
      </c>
      <c r="AL103" s="164">
        <f>IF(tblRisk[[#This Row],[Safeguard Status]]="In Place",tblRisk[[#This Row],[Risk Level With Safeguard in Place]],tblRisk[[#This Row],[Risk Level]])</f>
        <v>4</v>
      </c>
      <c r="AM103" s="165" t="s">
        <v>1887</v>
      </c>
      <c r="AN103" s="165" t="str">
        <f>IF(tblRisk[[#This Row],[Risk Treatment Option]]="Manage",_xlfn.IFNA(INDEX(tblRiskTreatmentPrograms[#Data],MATCH(tblRisk[[#This Row],[Common Security Program]]&amp;tblRisk[[#This Row],[Common Security Control]],tblRiskTreatmentPrograms[Lookup],0),MATCH($AN$3,tblRiskTreatmentPrograms[#Headers],0)),txtBadRTP),"")</f>
        <v/>
      </c>
      <c r="AO103" s="165" t="str">
        <f>IF(tblRisk[[#This Row],[Risk Treatment Program]]="","",INDEX(tblRiskTreatmentPrograms[#Data],MATCH(tblRisk[[#This Row],[Risk Treatment Program]],tblRiskTreatmentPrograms[Risk Treatment Program],0),MATCH($AO$3,tblRiskTreatmentPrograms[#Headers],0)))</f>
        <v/>
      </c>
      <c r="AP103" s="165"/>
      <c r="AQ10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3" s="19" t="str">
        <f>tblRisk[[#This Row],[Threat Cluster]]</f>
        <v>Physical Facility</v>
      </c>
      <c r="AS103" s="156">
        <f>IF(ISBLANK(tblRisk[[#This Row],[Safeguard Threat Cluster]]),"",_xlfn.XLOOKUP(tblRisk[[#This Row],[Safeguard Threat Cluster]],tblHIT[Threat Cluster],tblHIT[Quintile]))</f>
        <v>3</v>
      </c>
      <c r="AT103" s="157">
        <f>_xlfn.SWITCH(tblRisk[[#This Row],[Risk Treatment Option]],"Manage",tblRisk[[#This Row],[Control Maturity]]+1,tblRisk[[#This Row],[Control Maturity]])</f>
        <v>5</v>
      </c>
      <c r="AU103" s="158" t="str">
        <f>IF(OR(ISBLANK(tblRisk[[#This Row],[Safeguard HIT Quintile]]),ISBLANK(tblRisk[[#This Row],[Control Maturity after SG]])),"",_xlfn.XLOOKUP(tblRisk[[#This Row],[Control Maturity after SG]] &amp;tblRisk[[#This Row],[Safeguard HIT Quintile]],tblHITWDI[Lookup],tblHITWDI[Likelihood Description]))</f>
        <v>Not Foreseeable</v>
      </c>
      <c r="AV103" s="166">
        <f>IF(ISERROR(tblRisk[[#This Row],[Likelihood of Control Failure after SG]]),"",VLOOKUP(tblRisk[[#This Row],[Likelihood of Control Failure after SG]],tblLikelihood[#Data],2,FALSE))</f>
        <v>1</v>
      </c>
      <c r="AW103" s="159">
        <f>tblRisk[[#This Row],[Impact to Mission]]</f>
        <v>3</v>
      </c>
      <c r="AX103" s="159">
        <f>tblRisk[[#This Row],[Impact to Objectives]]</f>
        <v>3</v>
      </c>
      <c r="AY103" s="159">
        <f>tblRisk[[#This Row],[Impact to Obligations]]</f>
        <v>4</v>
      </c>
      <c r="AZ103" s="166">
        <f>IF(ISBLANK(tblRisk[[#This Row],[Impact to Mission With Safeguard in Place]]),"",MAX(tblRisk[[#This Row],[Impact to Mission With Safeguard in Place]:[Impact to Obligations With Safeguard in Place]]))</f>
        <v>4</v>
      </c>
      <c r="BA103" s="167">
        <f>IF(ISERROR(tblRisk[[#This Row],[Impact Score with Safeguard in Place]]*tblRisk[[#This Row],[Likelihood Score with Safeguard in Place]]),"",tblRisk[[#This Row],[Impact Score with Safeguard in Place]]*tblRisk[[#This Row],[Likelihood Score with Safeguard in Place]])</f>
        <v>4</v>
      </c>
      <c r="BB103" s="164">
        <f>tblRisk[[#This Row],[Risk Score With Safeguard in Place]]</f>
        <v>4</v>
      </c>
      <c r="BC103" s="168" t="str">
        <f>IF(tblRisk[[#This Row],[Risk Treatment Option]]&lt;&gt;"Accept",IF(_xlfn.XLOOKUP(tblRisk[[#This Row],[Specific Safeguard Recommendation]],ProTrak[Task],ProTrak[Status],"Not Found")="Completed","Pending Validation","Pending"),"")</f>
        <v/>
      </c>
      <c r="BD103" s="169" t="str">
        <f>_xlfn.XLOOKUP(tblRisk[[#This Row],[Risk Treatment Program]],tblRiskTreatmentPrograms[Risk Treatment Program],tblRiskTreatmentPrograms[Estimated End Date (MM/DD/YYYY)],"")</f>
        <v/>
      </c>
      <c r="BE103" s="170"/>
      <c r="BF103" s="171" t="str">
        <f>_xlfn.IFNA(IF(tblRisk[[#This Row],[Due Date]]&lt;=vWhatIfQuarter,"Closed",""),"")</f>
        <v/>
      </c>
      <c r="BG103" s="171">
        <f>IF(tblRisk[[#This Row],[Scenario Builder Status]]="Closed",tblRisk[[#This Row],[Risk Score With Safeguard in Place]],tblRisk[[#This Row],[Risk Score]])</f>
        <v>4</v>
      </c>
      <c r="BH103" s="192" t="str">
        <f>tblRisk[[#This Row],[Common Security Program]]&amp;tblRisk[[#This Row],[Common Security Control]]&amp;tblRisk[[#This Row],[Asset Designation ]]</f>
        <v>Vulnerability ManagementOperationDevices</v>
      </c>
      <c r="BI103" s="191" t="s">
        <v>117</v>
      </c>
      <c r="BJ103" s="191"/>
      <c r="BK103" s="191"/>
      <c r="BL103" s="191"/>
      <c r="BM103" s="191"/>
      <c r="BN103" s="191"/>
      <c r="BO103" s="191"/>
      <c r="BP103" s="191"/>
      <c r="BQ103" s="191"/>
    </row>
    <row r="104" spans="1:69" ht="299.25" x14ac:dyDescent="0.65">
      <c r="A104" s="160">
        <v>101</v>
      </c>
      <c r="B104" s="160" t="s">
        <v>899</v>
      </c>
      <c r="C104" s="19" t="s">
        <v>976</v>
      </c>
      <c r="D104" s="28" t="s">
        <v>1222</v>
      </c>
      <c r="E104" s="207" t="s">
        <v>1092</v>
      </c>
      <c r="F104" s="194"/>
      <c r="G104" s="194" t="s">
        <v>117</v>
      </c>
      <c r="H104" s="194" t="s">
        <v>117</v>
      </c>
      <c r="I104" s="194" t="s">
        <v>1081</v>
      </c>
      <c r="J104" s="194" t="s">
        <v>1081</v>
      </c>
      <c r="K104" s="194" t="s">
        <v>1081</v>
      </c>
      <c r="L104" s="194" t="s">
        <v>1081</v>
      </c>
      <c r="M104" s="194" t="s">
        <v>1081</v>
      </c>
      <c r="N104" s="194">
        <f>COUNTIF(tblRisk[[#This Row],[Defends Against Malware]:[Defends Against Targeted Intrusions]],"Yes")</f>
        <v>5</v>
      </c>
      <c r="O104" s="160" t="s">
        <v>22</v>
      </c>
      <c r="P104" s="160" t="s">
        <v>88</v>
      </c>
      <c r="Q104" s="160" t="s">
        <v>611</v>
      </c>
      <c r="R104" s="160" t="s">
        <v>1085</v>
      </c>
      <c r="S104" s="160" t="s">
        <v>1431</v>
      </c>
      <c r="T104" s="160" t="s">
        <v>1429</v>
      </c>
      <c r="U104" s="160" t="s">
        <v>1430</v>
      </c>
      <c r="V104" s="19" t="s">
        <v>1667</v>
      </c>
      <c r="W104" s="160" t="s">
        <v>1709</v>
      </c>
      <c r="X104" s="160" t="s">
        <v>1823</v>
      </c>
      <c r="Y104" s="151">
        <f>IF(ISBLANK(tblRisk[[#This Row],[Threat Cluster]]),"",_xlfn.XLOOKUP(tblRisk[[#This Row],[Threat Cluster]],tblHIT[Threat Cluster],tblHIT[Quintile]))</f>
        <v>3</v>
      </c>
      <c r="Z104" s="152">
        <v>5</v>
      </c>
      <c r="AA104" s="153" t="str">
        <f>IF(OR(ISBLANK(tblRisk[[#This Row],[HIT Quintile]]),ISBLANK(tblRisk[[#This Row],[Control Maturity]])),"",_xlfn.XLOOKUP(tblRisk[[#This Row],[Control Maturity]] &amp; tblRisk[[#This Row],[HIT Quintile]],tblHITWDI[Lookup],tblHITWDI[Likelihood Description]))</f>
        <v>Not Foreseeable</v>
      </c>
      <c r="AB104" s="161">
        <f>IF(ISERROR(tblRisk[[#This Row],[Likelihood of Control Failure]]),"",VLOOKUP(tblRisk[[#This Row],[Likelihood of Control Failure]],tblLikelihood[],2,FALSE))</f>
        <v>1</v>
      </c>
      <c r="AC104" s="154">
        <v>3</v>
      </c>
      <c r="AD104" s="155">
        <v>3</v>
      </c>
      <c r="AE104" s="155">
        <v>4</v>
      </c>
      <c r="AF104" s="162">
        <f>IF(ISBLANK(tblRisk[[#This Row],[Impact to Mission]]),"",MAX(tblRisk[[#This Row],[Impact to Mission]:[Impact to Obligations]]))</f>
        <v>4</v>
      </c>
      <c r="AG104" s="163">
        <f>IF(ISERROR(tblRisk[[#This Row],[Impact Score]]*tblRisk[[#This Row],[Likelihood Score]]),"",tblRisk[[#This Row],[Likelihood Score]]*tblRisk[[#This Row],[Impact Score]])</f>
        <v>4</v>
      </c>
      <c r="AH104" s="163">
        <f>tblRisk[[#This Row],[Risk Score]]</f>
        <v>4</v>
      </c>
      <c r="AI104" s="164">
        <f t="shared" si="2"/>
        <v>9</v>
      </c>
      <c r="AJ104" s="164">
        <f>IF(tblRisk[[#This Row],[Safeguard Status]]="In Place",tblRisk[[#This Row],[Control Maturity after SG]],tblRisk[[#This Row],[Control Maturity]])</f>
        <v>5</v>
      </c>
      <c r="AK104" s="173" t="str">
        <f>IF(tblRisk[[#This Row],[Safeguard Status]]="In Place",tblRisk[[#This Row],[Safeguard Threat Cluster]],tblRisk[[#This Row],[Threat Cluster]])</f>
        <v>Physical Facility</v>
      </c>
      <c r="AL104" s="164">
        <f>IF(tblRisk[[#This Row],[Safeguard Status]]="In Place",tblRisk[[#This Row],[Risk Level With Safeguard in Place]],tblRisk[[#This Row],[Risk Level]])</f>
        <v>4</v>
      </c>
      <c r="AM104" s="165" t="s">
        <v>1887</v>
      </c>
      <c r="AN104" s="165" t="str">
        <f>IF(tblRisk[[#This Row],[Risk Treatment Option]]="Manage",_xlfn.IFNA(INDEX(tblRiskTreatmentPrograms[#Data],MATCH(tblRisk[[#This Row],[Common Security Program]]&amp;tblRisk[[#This Row],[Common Security Control]],tblRiskTreatmentPrograms[Lookup],0),MATCH($AN$3,tblRiskTreatmentPrograms[#Headers],0)),txtBadRTP),"")</f>
        <v/>
      </c>
      <c r="AO104" s="165" t="str">
        <f>IF(tblRisk[[#This Row],[Risk Treatment Program]]="","",INDEX(tblRiskTreatmentPrograms[#Data],MATCH(tblRisk[[#This Row],[Risk Treatment Program]],tblRiskTreatmentPrograms[Risk Treatment Program],0),MATCH($AO$3,tblRiskTreatmentPrograms[#Headers],0)))</f>
        <v/>
      </c>
      <c r="AP104" s="165"/>
      <c r="AQ10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4" s="19" t="str">
        <f>tblRisk[[#This Row],[Threat Cluster]]</f>
        <v>Physical Facility</v>
      </c>
      <c r="AS104" s="156">
        <f>IF(ISBLANK(tblRisk[[#This Row],[Safeguard Threat Cluster]]),"",_xlfn.XLOOKUP(tblRisk[[#This Row],[Safeguard Threat Cluster]],tblHIT[Threat Cluster],tblHIT[Quintile]))</f>
        <v>3</v>
      </c>
      <c r="AT104" s="157">
        <f>_xlfn.SWITCH(tblRisk[[#This Row],[Risk Treatment Option]],"Manage",tblRisk[[#This Row],[Control Maturity]]+1,tblRisk[[#This Row],[Control Maturity]])</f>
        <v>5</v>
      </c>
      <c r="AU104" s="158" t="str">
        <f>IF(OR(ISBLANK(tblRisk[[#This Row],[Safeguard HIT Quintile]]),ISBLANK(tblRisk[[#This Row],[Control Maturity after SG]])),"",_xlfn.XLOOKUP(tblRisk[[#This Row],[Control Maturity after SG]] &amp;tblRisk[[#This Row],[Safeguard HIT Quintile]],tblHITWDI[Lookup],tblHITWDI[Likelihood Description]))</f>
        <v>Not Foreseeable</v>
      </c>
      <c r="AV104" s="166">
        <f>IF(ISERROR(tblRisk[[#This Row],[Likelihood of Control Failure after SG]]),"",VLOOKUP(tblRisk[[#This Row],[Likelihood of Control Failure after SG]],tblLikelihood[#Data],2,FALSE))</f>
        <v>1</v>
      </c>
      <c r="AW104" s="159">
        <f>tblRisk[[#This Row],[Impact to Mission]]</f>
        <v>3</v>
      </c>
      <c r="AX104" s="159">
        <f>tblRisk[[#This Row],[Impact to Objectives]]</f>
        <v>3</v>
      </c>
      <c r="AY104" s="159">
        <f>tblRisk[[#This Row],[Impact to Obligations]]</f>
        <v>4</v>
      </c>
      <c r="AZ104" s="166">
        <f>IF(ISBLANK(tblRisk[[#This Row],[Impact to Mission With Safeguard in Place]]),"",MAX(tblRisk[[#This Row],[Impact to Mission With Safeguard in Place]:[Impact to Obligations With Safeguard in Place]]))</f>
        <v>4</v>
      </c>
      <c r="BA104" s="167">
        <f>IF(ISERROR(tblRisk[[#This Row],[Impact Score with Safeguard in Place]]*tblRisk[[#This Row],[Likelihood Score with Safeguard in Place]]),"",tblRisk[[#This Row],[Impact Score with Safeguard in Place]]*tblRisk[[#This Row],[Likelihood Score with Safeguard in Place]])</f>
        <v>4</v>
      </c>
      <c r="BB104" s="164">
        <f>tblRisk[[#This Row],[Risk Score With Safeguard in Place]]</f>
        <v>4</v>
      </c>
      <c r="BC104" s="168" t="str">
        <f>IF(tblRisk[[#This Row],[Risk Treatment Option]]&lt;&gt;"Accept",IF(_xlfn.XLOOKUP(tblRisk[[#This Row],[Specific Safeguard Recommendation]],ProTrak[Task],ProTrak[Status],"Not Found")="Completed","Pending Validation","Pending"),"")</f>
        <v/>
      </c>
      <c r="BD104" s="169" t="str">
        <f>_xlfn.XLOOKUP(tblRisk[[#This Row],[Risk Treatment Program]],tblRiskTreatmentPrograms[Risk Treatment Program],tblRiskTreatmentPrograms[Estimated End Date (MM/DD/YYYY)],"")</f>
        <v/>
      </c>
      <c r="BE104" s="170"/>
      <c r="BF104" s="171" t="str">
        <f>_xlfn.IFNA(IF(tblRisk[[#This Row],[Due Date]]&lt;=vWhatIfQuarter,"Closed",""),"")</f>
        <v/>
      </c>
      <c r="BG104" s="171">
        <f>IF(tblRisk[[#This Row],[Scenario Builder Status]]="Closed",tblRisk[[#This Row],[Risk Score With Safeguard in Place]],tblRisk[[#This Row],[Risk Score]])</f>
        <v>4</v>
      </c>
      <c r="BH104" s="192" t="str">
        <f>tblRisk[[#This Row],[Common Security Program]]&amp;tblRisk[[#This Row],[Common Security Control]]&amp;tblRisk[[#This Row],[Asset Designation ]]</f>
        <v>Vulnerability ManagementOperationNetwork</v>
      </c>
      <c r="BI104" s="191" t="s">
        <v>117</v>
      </c>
      <c r="BJ104" s="191"/>
      <c r="BK104" s="191"/>
      <c r="BL104" s="191"/>
      <c r="BM104" s="191"/>
      <c r="BN104" s="191"/>
      <c r="BO104" s="191"/>
      <c r="BP104" s="191"/>
      <c r="BQ104" s="191"/>
    </row>
    <row r="105" spans="1:69" ht="78.75" x14ac:dyDescent="0.65">
      <c r="A105" s="160">
        <v>102</v>
      </c>
      <c r="B105" s="160" t="s">
        <v>899</v>
      </c>
      <c r="C105" s="19" t="s">
        <v>977</v>
      </c>
      <c r="D105" s="28" t="s">
        <v>1223</v>
      </c>
      <c r="E105" s="207" t="s">
        <v>1092</v>
      </c>
      <c r="F105" s="194"/>
      <c r="G105" s="194" t="s">
        <v>117</v>
      </c>
      <c r="H105" s="194" t="s">
        <v>117</v>
      </c>
      <c r="I105" s="194" t="s">
        <v>1081</v>
      </c>
      <c r="J105" s="194" t="s">
        <v>1081</v>
      </c>
      <c r="K105" s="194" t="s">
        <v>1081</v>
      </c>
      <c r="L105" s="194" t="s">
        <v>1081</v>
      </c>
      <c r="M105" s="194" t="s">
        <v>1081</v>
      </c>
      <c r="N105" s="194">
        <f>COUNTIF(tblRisk[[#This Row],[Defends Against Malware]:[Defends Against Targeted Intrusions]],"Yes")</f>
        <v>5</v>
      </c>
      <c r="O105" s="160" t="s">
        <v>654</v>
      </c>
      <c r="P105" s="160" t="s">
        <v>88</v>
      </c>
      <c r="Q105" s="160" t="s">
        <v>30</v>
      </c>
      <c r="R105" s="160" t="s">
        <v>1085</v>
      </c>
      <c r="S105" s="160" t="s">
        <v>1087</v>
      </c>
      <c r="T105" s="160" t="s">
        <v>1439</v>
      </c>
      <c r="U105" s="160" t="s">
        <v>1440</v>
      </c>
      <c r="V105" s="19" t="s">
        <v>1672</v>
      </c>
      <c r="W105" s="160" t="s">
        <v>1709</v>
      </c>
      <c r="X105" s="160" t="s">
        <v>1824</v>
      </c>
      <c r="Y105" s="151">
        <f>IF(ISBLANK(tblRisk[[#This Row],[Threat Cluster]]),"",_xlfn.XLOOKUP(tblRisk[[#This Row],[Threat Cluster]],tblHIT[Threat Cluster],tblHIT[Quintile]))</f>
        <v>2</v>
      </c>
      <c r="Z105" s="152">
        <v>4</v>
      </c>
      <c r="AA105" s="153" t="str">
        <f>IF(OR(ISBLANK(tblRisk[[#This Row],[HIT Quintile]]),ISBLANK(tblRisk[[#This Row],[Control Maturity]])),"",_xlfn.XLOOKUP(tblRisk[[#This Row],[Control Maturity]] &amp; tblRisk[[#This Row],[HIT Quintile]],tblHITWDI[Lookup],tblHITWDI[Likelihood Description]))</f>
        <v>Foreseeable, not expected</v>
      </c>
      <c r="AB105" s="161">
        <f>IF(ISERROR(tblRisk[[#This Row],[Likelihood of Control Failure]]),"",VLOOKUP(tblRisk[[#This Row],[Likelihood of Control Failure]],tblLikelihood[],2,FALSE))</f>
        <v>2</v>
      </c>
      <c r="AC105" s="154">
        <v>3</v>
      </c>
      <c r="AD105" s="155">
        <v>3</v>
      </c>
      <c r="AE105" s="155">
        <v>4</v>
      </c>
      <c r="AF105" s="162">
        <f>IF(ISBLANK(tblRisk[[#This Row],[Impact to Mission]]),"",MAX(tblRisk[[#This Row],[Impact to Mission]:[Impact to Obligations]]))</f>
        <v>4</v>
      </c>
      <c r="AG105" s="163">
        <f>IF(ISERROR(tblRisk[[#This Row],[Impact Score]]*tblRisk[[#This Row],[Likelihood Score]]),"",tblRisk[[#This Row],[Likelihood Score]]*tblRisk[[#This Row],[Impact Score]])</f>
        <v>8</v>
      </c>
      <c r="AH105" s="163">
        <f>tblRisk[[#This Row],[Risk Score]]</f>
        <v>8</v>
      </c>
      <c r="AI105" s="164">
        <f t="shared" si="2"/>
        <v>9</v>
      </c>
      <c r="AJ105" s="164">
        <f>IF(tblRisk[[#This Row],[Safeguard Status]]="In Place",tblRisk[[#This Row],[Control Maturity after SG]],tblRisk[[#This Row],[Control Maturity]])</f>
        <v>4</v>
      </c>
      <c r="AK105" s="173" t="str">
        <f>IF(tblRisk[[#This Row],[Safeguard Status]]="In Place",tblRisk[[#This Row],[Safeguard Threat Cluster]],tblRisk[[#This Row],[Threat Cluster]])</f>
        <v>Hacking System</v>
      </c>
      <c r="AL105" s="164">
        <f>IF(tblRisk[[#This Row],[Safeguard Status]]="In Place",tblRisk[[#This Row],[Risk Level With Safeguard in Place]],tblRisk[[#This Row],[Risk Level]])</f>
        <v>8</v>
      </c>
      <c r="AM105" s="165" t="s">
        <v>1887</v>
      </c>
      <c r="AN105" s="165" t="str">
        <f>IF(tblRisk[[#This Row],[Risk Treatment Option]]="Manage",_xlfn.IFNA(INDEX(tblRiskTreatmentPrograms[#Data],MATCH(tblRisk[[#This Row],[Common Security Program]]&amp;tblRisk[[#This Row],[Common Security Control]],tblRiskTreatmentPrograms[Lookup],0),MATCH($AN$3,tblRiskTreatmentPrograms[#Headers],0)),txtBadRTP),"")</f>
        <v/>
      </c>
      <c r="AO105" s="165" t="str">
        <f>IF(tblRisk[[#This Row],[Risk Treatment Program]]="","",INDEX(tblRiskTreatmentPrograms[#Data],MATCH(tblRisk[[#This Row],[Risk Treatment Program]],tblRiskTreatmentPrograms[Risk Treatment Program],0),MATCH($AO$3,tblRiskTreatmentPrograms[#Headers],0)))</f>
        <v/>
      </c>
      <c r="AP105" s="165"/>
      <c r="AQ10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5" s="19" t="str">
        <f>tblRisk[[#This Row],[Threat Cluster]]</f>
        <v>Hacking System</v>
      </c>
      <c r="AS105" s="156">
        <f>IF(ISBLANK(tblRisk[[#This Row],[Safeguard Threat Cluster]]),"",_xlfn.XLOOKUP(tblRisk[[#This Row],[Safeguard Threat Cluster]],tblHIT[Threat Cluster],tblHIT[Quintile]))</f>
        <v>2</v>
      </c>
      <c r="AT105" s="157">
        <f>_xlfn.SWITCH(tblRisk[[#This Row],[Risk Treatment Option]],"Manage",tblRisk[[#This Row],[Control Maturity]]+1,tblRisk[[#This Row],[Control Maturity]])</f>
        <v>4</v>
      </c>
      <c r="AU10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05" s="166">
        <f>IF(ISERROR(tblRisk[[#This Row],[Likelihood of Control Failure after SG]]),"",VLOOKUP(tblRisk[[#This Row],[Likelihood of Control Failure after SG]],tblLikelihood[#Data],2,FALSE))</f>
        <v>2</v>
      </c>
      <c r="AW105" s="159">
        <f>tblRisk[[#This Row],[Impact to Mission]]</f>
        <v>3</v>
      </c>
      <c r="AX105" s="159">
        <f>tblRisk[[#This Row],[Impact to Objectives]]</f>
        <v>3</v>
      </c>
      <c r="AY105" s="159">
        <f>tblRisk[[#This Row],[Impact to Obligations]]</f>
        <v>4</v>
      </c>
      <c r="AZ105" s="166">
        <f>IF(ISBLANK(tblRisk[[#This Row],[Impact to Mission With Safeguard in Place]]),"",MAX(tblRisk[[#This Row],[Impact to Mission With Safeguard in Place]:[Impact to Obligations With Safeguard in Place]]))</f>
        <v>4</v>
      </c>
      <c r="BA105" s="167">
        <f>IF(ISERROR(tblRisk[[#This Row],[Impact Score with Safeguard in Place]]*tblRisk[[#This Row],[Likelihood Score with Safeguard in Place]]),"",tblRisk[[#This Row],[Impact Score with Safeguard in Place]]*tblRisk[[#This Row],[Likelihood Score with Safeguard in Place]])</f>
        <v>8</v>
      </c>
      <c r="BB105" s="164">
        <f>tblRisk[[#This Row],[Risk Score With Safeguard in Place]]</f>
        <v>8</v>
      </c>
      <c r="BC105" s="168" t="str">
        <f>IF(tblRisk[[#This Row],[Risk Treatment Option]]&lt;&gt;"Accept",IF(_xlfn.XLOOKUP(tblRisk[[#This Row],[Specific Safeguard Recommendation]],ProTrak[Task],ProTrak[Status],"Not Found")="Completed","Pending Validation","Pending"),"")</f>
        <v/>
      </c>
      <c r="BD105" s="169" t="str">
        <f>_xlfn.XLOOKUP(tblRisk[[#This Row],[Risk Treatment Program]],tblRiskTreatmentPrograms[Risk Treatment Program],tblRiskTreatmentPrograms[Estimated End Date (MM/DD/YYYY)],"")</f>
        <v/>
      </c>
      <c r="BE105" s="170"/>
      <c r="BF105" s="171" t="str">
        <f>_xlfn.IFNA(IF(tblRisk[[#This Row],[Due Date]]&lt;=vWhatIfQuarter,"Closed",""),"")</f>
        <v/>
      </c>
      <c r="BG105" s="171">
        <f>IF(tblRisk[[#This Row],[Scenario Builder Status]]="Closed",tblRisk[[#This Row],[Risk Score With Safeguard in Place]],tblRisk[[#This Row],[Risk Score]])</f>
        <v>8</v>
      </c>
      <c r="BH105" s="192" t="str">
        <f>tblRisk[[#This Row],[Common Security Program]]&amp;tblRisk[[#This Row],[Common Security Control]]&amp;tblRisk[[#This Row],[Asset Designation ]]</f>
        <v>Network Device ManagementOperationNetwork</v>
      </c>
      <c r="BI105" s="191" t="s">
        <v>117</v>
      </c>
      <c r="BJ105" s="191"/>
      <c r="BK105" s="191"/>
      <c r="BL105" s="191"/>
      <c r="BM105" s="191"/>
      <c r="BN105" s="191"/>
      <c r="BO105" s="191"/>
      <c r="BP105" s="191"/>
      <c r="BQ105" s="191"/>
    </row>
    <row r="106" spans="1:69" ht="126" x14ac:dyDescent="0.65">
      <c r="A106" s="160">
        <v>103</v>
      </c>
      <c r="B106" s="160" t="s">
        <v>899</v>
      </c>
      <c r="C106" s="19" t="s">
        <v>978</v>
      </c>
      <c r="D106" s="28" t="s">
        <v>1224</v>
      </c>
      <c r="E106" s="207" t="s">
        <v>1092</v>
      </c>
      <c r="F106" s="194"/>
      <c r="G106" s="194" t="s">
        <v>117</v>
      </c>
      <c r="H106" s="194" t="s">
        <v>117</v>
      </c>
      <c r="I106" s="194" t="s">
        <v>1081</v>
      </c>
      <c r="J106" s="194" t="s">
        <v>1081</v>
      </c>
      <c r="K106" s="194" t="s">
        <v>1081</v>
      </c>
      <c r="L106" s="194" t="s">
        <v>1081</v>
      </c>
      <c r="M106" s="194" t="s">
        <v>1081</v>
      </c>
      <c r="N106" s="194">
        <f>COUNTIF(tblRisk[[#This Row],[Defends Against Malware]:[Defends Against Targeted Intrusions]],"Yes")</f>
        <v>5</v>
      </c>
      <c r="O106" s="160" t="s">
        <v>18</v>
      </c>
      <c r="P106" s="160" t="s">
        <v>88</v>
      </c>
      <c r="Q106" s="160" t="s">
        <v>30</v>
      </c>
      <c r="R106" s="160" t="s">
        <v>1082</v>
      </c>
      <c r="S106" s="160" t="s">
        <v>1418</v>
      </c>
      <c r="T106" s="160" t="s">
        <v>1416</v>
      </c>
      <c r="U106" s="160" t="s">
        <v>1417</v>
      </c>
      <c r="V106" s="160" t="s">
        <v>1614</v>
      </c>
      <c r="W106" s="160" t="s">
        <v>1709</v>
      </c>
      <c r="X106" s="160" t="s">
        <v>1825</v>
      </c>
      <c r="Y106" s="151">
        <f>IF(ISBLANK(tblRisk[[#This Row],[Threat Cluster]]),"",_xlfn.XLOOKUP(tblRisk[[#This Row],[Threat Cluster]],tblHIT[Threat Cluster],tblHIT[Quintile]))</f>
        <v>2</v>
      </c>
      <c r="Z106" s="152">
        <v>4</v>
      </c>
      <c r="AA106" s="153" t="str">
        <f>IF(OR(ISBLANK(tblRisk[[#This Row],[HIT Quintile]]),ISBLANK(tblRisk[[#This Row],[Control Maturity]])),"",_xlfn.XLOOKUP(tblRisk[[#This Row],[Control Maturity]] &amp; tblRisk[[#This Row],[HIT Quintile]],tblHITWDI[Lookup],tblHITWDI[Likelihood Description]))</f>
        <v>Foreseeable, not expected</v>
      </c>
      <c r="AB106" s="161">
        <f>IF(ISERROR(tblRisk[[#This Row],[Likelihood of Control Failure]]),"",VLOOKUP(tblRisk[[#This Row],[Likelihood of Control Failure]],tblLikelihood[],2,FALSE))</f>
        <v>2</v>
      </c>
      <c r="AC106" s="154">
        <v>3</v>
      </c>
      <c r="AD106" s="155">
        <v>3</v>
      </c>
      <c r="AE106" s="155">
        <v>4</v>
      </c>
      <c r="AF106" s="162">
        <f>IF(ISBLANK(tblRisk[[#This Row],[Impact to Mission]]),"",MAX(tblRisk[[#This Row],[Impact to Mission]:[Impact to Obligations]]))</f>
        <v>4</v>
      </c>
      <c r="AG106" s="163">
        <f>IF(ISERROR(tblRisk[[#This Row],[Impact Score]]*tblRisk[[#This Row],[Likelihood Score]]),"",tblRisk[[#This Row],[Likelihood Score]]*tblRisk[[#This Row],[Impact Score]])</f>
        <v>8</v>
      </c>
      <c r="AH106" s="163">
        <f>tblRisk[[#This Row],[Risk Score]]</f>
        <v>8</v>
      </c>
      <c r="AI106" s="164">
        <f t="shared" si="2"/>
        <v>9</v>
      </c>
      <c r="AJ106" s="164">
        <f>IF(tblRisk[[#This Row],[Safeguard Status]]="In Place",tblRisk[[#This Row],[Control Maturity after SG]],tblRisk[[#This Row],[Control Maturity]])</f>
        <v>4</v>
      </c>
      <c r="AK106" s="173" t="str">
        <f>IF(tblRisk[[#This Row],[Safeguard Status]]="In Place",tblRisk[[#This Row],[Safeguard Threat Cluster]],tblRisk[[#This Row],[Threat Cluster]])</f>
        <v>Hacking System</v>
      </c>
      <c r="AL106" s="164">
        <f>IF(tblRisk[[#This Row],[Safeguard Status]]="In Place",tblRisk[[#This Row],[Risk Level With Safeguard in Place]],tblRisk[[#This Row],[Risk Level]])</f>
        <v>8</v>
      </c>
      <c r="AM106" s="165" t="s">
        <v>1887</v>
      </c>
      <c r="AN106" s="165" t="str">
        <f>IF(tblRisk[[#This Row],[Risk Treatment Option]]="Manage",_xlfn.IFNA(INDEX(tblRiskTreatmentPrograms[#Data],MATCH(tblRisk[[#This Row],[Common Security Program]]&amp;tblRisk[[#This Row],[Common Security Control]],tblRiskTreatmentPrograms[Lookup],0),MATCH($AN$3,tblRiskTreatmentPrograms[#Headers],0)),txtBadRTP),"")</f>
        <v/>
      </c>
      <c r="AO106" s="165" t="str">
        <f>IF(tblRisk[[#This Row],[Risk Treatment Program]]="","",INDEX(tblRiskTreatmentPrograms[#Data],MATCH(tblRisk[[#This Row],[Risk Treatment Program]],tblRiskTreatmentPrograms[Risk Treatment Program],0),MATCH($AO$3,tblRiskTreatmentPrograms[#Headers],0)))</f>
        <v/>
      </c>
      <c r="AP106" s="165"/>
      <c r="AQ10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6" s="19" t="str">
        <f>tblRisk[[#This Row],[Threat Cluster]]</f>
        <v>Hacking System</v>
      </c>
      <c r="AS106" s="156">
        <f>IF(ISBLANK(tblRisk[[#This Row],[Safeguard Threat Cluster]]),"",_xlfn.XLOOKUP(tblRisk[[#This Row],[Safeguard Threat Cluster]],tblHIT[Threat Cluster],tblHIT[Quintile]))</f>
        <v>2</v>
      </c>
      <c r="AT106" s="157">
        <f>_xlfn.SWITCH(tblRisk[[#This Row],[Risk Treatment Option]],"Manage",tblRisk[[#This Row],[Control Maturity]]+1,tblRisk[[#This Row],[Control Maturity]])</f>
        <v>4</v>
      </c>
      <c r="AU10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06" s="166">
        <f>IF(ISERROR(tblRisk[[#This Row],[Likelihood of Control Failure after SG]]),"",VLOOKUP(tblRisk[[#This Row],[Likelihood of Control Failure after SG]],tblLikelihood[#Data],2,FALSE))</f>
        <v>2</v>
      </c>
      <c r="AW106" s="159">
        <f>tblRisk[[#This Row],[Impact to Mission]]</f>
        <v>3</v>
      </c>
      <c r="AX106" s="159">
        <f>tblRisk[[#This Row],[Impact to Objectives]]</f>
        <v>3</v>
      </c>
      <c r="AY106" s="159">
        <f>tblRisk[[#This Row],[Impact to Obligations]]</f>
        <v>4</v>
      </c>
      <c r="AZ106" s="166">
        <f>IF(ISBLANK(tblRisk[[#This Row],[Impact to Mission With Safeguard in Place]]),"",MAX(tblRisk[[#This Row],[Impact to Mission With Safeguard in Place]:[Impact to Obligations With Safeguard in Place]]))</f>
        <v>4</v>
      </c>
      <c r="BA106" s="167">
        <f>IF(ISERROR(tblRisk[[#This Row],[Impact Score with Safeguard in Place]]*tblRisk[[#This Row],[Likelihood Score with Safeguard in Place]]),"",tblRisk[[#This Row],[Impact Score with Safeguard in Place]]*tblRisk[[#This Row],[Likelihood Score with Safeguard in Place]])</f>
        <v>8</v>
      </c>
      <c r="BB106" s="164">
        <f>tblRisk[[#This Row],[Risk Score With Safeguard in Place]]</f>
        <v>8</v>
      </c>
      <c r="BC106" s="168" t="str">
        <f>IF(tblRisk[[#This Row],[Risk Treatment Option]]&lt;&gt;"Accept",IF(_xlfn.XLOOKUP(tblRisk[[#This Row],[Specific Safeguard Recommendation]],ProTrak[Task],ProTrak[Status],"Not Found")="Completed","Pending Validation","Pending"),"")</f>
        <v/>
      </c>
      <c r="BD106" s="169" t="str">
        <f>_xlfn.XLOOKUP(tblRisk[[#This Row],[Risk Treatment Program]],tblRiskTreatmentPrograms[Risk Treatment Program],tblRiskTreatmentPrograms[Estimated End Date (MM/DD/YYYY)],"")</f>
        <v/>
      </c>
      <c r="BE106" s="170"/>
      <c r="BF106" s="171" t="str">
        <f>_xlfn.IFNA(IF(tblRisk[[#This Row],[Due Date]]&lt;=vWhatIfQuarter,"Closed",""),"")</f>
        <v/>
      </c>
      <c r="BG106" s="171">
        <f>IF(tblRisk[[#This Row],[Scenario Builder Status]]="Closed",tblRisk[[#This Row],[Risk Score With Safeguard in Place]],tblRisk[[#This Row],[Risk Score]])</f>
        <v>8</v>
      </c>
      <c r="BH106" s="192" t="str">
        <f>tblRisk[[#This Row],[Common Security Program]]&amp;tblRisk[[#This Row],[Common Security Control]]&amp;tblRisk[[#This Row],[Asset Designation ]]</f>
        <v>Access ControlOperationDevices</v>
      </c>
      <c r="BI106" s="191" t="s">
        <v>117</v>
      </c>
      <c r="BJ106" s="191"/>
      <c r="BK106" s="191"/>
      <c r="BL106" s="191"/>
      <c r="BM106" s="191"/>
      <c r="BN106" s="191"/>
      <c r="BO106" s="191"/>
      <c r="BP106" s="191"/>
      <c r="BQ106" s="191"/>
    </row>
    <row r="107" spans="1:69" ht="267.75" x14ac:dyDescent="0.65">
      <c r="A107" s="160">
        <v>104</v>
      </c>
      <c r="B107" s="160" t="s">
        <v>899</v>
      </c>
      <c r="C107" s="19" t="s">
        <v>979</v>
      </c>
      <c r="D107" s="28" t="s">
        <v>1225</v>
      </c>
      <c r="E107" s="207" t="s">
        <v>1091</v>
      </c>
      <c r="F107" s="194"/>
      <c r="G107" s="194" t="s">
        <v>117</v>
      </c>
      <c r="H107" s="194" t="s">
        <v>117</v>
      </c>
      <c r="I107" s="194" t="s">
        <v>1080</v>
      </c>
      <c r="J107" s="194" t="s">
        <v>1080</v>
      </c>
      <c r="K107" s="194" t="s">
        <v>1080</v>
      </c>
      <c r="L107" s="194" t="s">
        <v>1080</v>
      </c>
      <c r="M107" s="194" t="s">
        <v>1080</v>
      </c>
      <c r="N107" s="194">
        <f>COUNTIF(tblRisk[[#This Row],[Defends Against Malware]:[Defends Against Targeted Intrusions]],"Yes")</f>
        <v>0</v>
      </c>
      <c r="O107" s="160" t="s">
        <v>21</v>
      </c>
      <c r="P107" s="160" t="s">
        <v>88</v>
      </c>
      <c r="Q107" s="160" t="s">
        <v>30</v>
      </c>
      <c r="R107" s="160" t="s">
        <v>1085</v>
      </c>
      <c r="S107" s="160" t="s">
        <v>1426</v>
      </c>
      <c r="T107" s="160" t="s">
        <v>1425</v>
      </c>
      <c r="U107" s="19" t="s">
        <v>1906</v>
      </c>
      <c r="V107" s="19" t="s">
        <v>1668</v>
      </c>
      <c r="W107" s="160" t="s">
        <v>1709</v>
      </c>
      <c r="X107" s="160" t="s">
        <v>1826</v>
      </c>
      <c r="Y107" s="151">
        <f>IF(ISBLANK(tblRisk[[#This Row],[Threat Cluster]]),"",_xlfn.XLOOKUP(tblRisk[[#This Row],[Threat Cluster]],tblHIT[Threat Cluster],tblHIT[Quintile]))</f>
        <v>2</v>
      </c>
      <c r="Z107" s="152">
        <v>5</v>
      </c>
      <c r="AA107" s="153" t="str">
        <f>IF(OR(ISBLANK(tblRisk[[#This Row],[HIT Quintile]]),ISBLANK(tblRisk[[#This Row],[Control Maturity]])),"",_xlfn.XLOOKUP(tblRisk[[#This Row],[Control Maturity]] &amp; tblRisk[[#This Row],[HIT Quintile]],tblHITWDI[Lookup],tblHITWDI[Likelihood Description]))</f>
        <v>Not Foreseeable</v>
      </c>
      <c r="AB107" s="161">
        <f>IF(ISERROR(tblRisk[[#This Row],[Likelihood of Control Failure]]),"",VLOOKUP(tblRisk[[#This Row],[Likelihood of Control Failure]],tblLikelihood[],2,FALSE))</f>
        <v>1</v>
      </c>
      <c r="AC107" s="154">
        <v>3</v>
      </c>
      <c r="AD107" s="155">
        <v>3</v>
      </c>
      <c r="AE107" s="155">
        <v>4</v>
      </c>
      <c r="AF107" s="162">
        <f>IF(ISBLANK(tblRisk[[#This Row],[Impact to Mission]]),"",MAX(tblRisk[[#This Row],[Impact to Mission]:[Impact to Obligations]]))</f>
        <v>4</v>
      </c>
      <c r="AG107" s="163">
        <f>IF(ISERROR(tblRisk[[#This Row],[Impact Score]]*tblRisk[[#This Row],[Likelihood Score]]),"",tblRisk[[#This Row],[Likelihood Score]]*tblRisk[[#This Row],[Impact Score]])</f>
        <v>4</v>
      </c>
      <c r="AH107" s="163">
        <f>tblRisk[[#This Row],[Risk Score]]</f>
        <v>4</v>
      </c>
      <c r="AI107" s="164">
        <f t="shared" si="2"/>
        <v>9</v>
      </c>
      <c r="AJ107" s="164">
        <f>IF(tblRisk[[#This Row],[Safeguard Status]]="In Place",tblRisk[[#This Row],[Control Maturity after SG]],tblRisk[[#This Row],[Control Maturity]])</f>
        <v>5</v>
      </c>
      <c r="AK107" s="173" t="str">
        <f>IF(tblRisk[[#This Row],[Safeguard Status]]="In Place",tblRisk[[#This Row],[Safeguard Threat Cluster]],tblRisk[[#This Row],[Threat Cluster]])</f>
        <v>Hacking System</v>
      </c>
      <c r="AL107" s="164">
        <f>IF(tblRisk[[#This Row],[Safeguard Status]]="In Place",tblRisk[[#This Row],[Risk Level With Safeguard in Place]],tblRisk[[#This Row],[Risk Level]])</f>
        <v>4</v>
      </c>
      <c r="AM107" s="165" t="s">
        <v>1887</v>
      </c>
      <c r="AN107" s="165" t="str">
        <f>IF(tblRisk[[#This Row],[Risk Treatment Option]]="Manage",_xlfn.IFNA(INDEX(tblRiskTreatmentPrograms[#Data],MATCH(tblRisk[[#This Row],[Common Security Program]]&amp;tblRisk[[#This Row],[Common Security Control]],tblRiskTreatmentPrograms[Lookup],0),MATCH($AN$3,tblRiskTreatmentPrograms[#Headers],0)),txtBadRTP),"")</f>
        <v/>
      </c>
      <c r="AO107" s="165" t="str">
        <f>IF(tblRisk[[#This Row],[Risk Treatment Program]]="","",INDEX(tblRiskTreatmentPrograms[#Data],MATCH(tblRisk[[#This Row],[Risk Treatment Program]],tblRiskTreatmentPrograms[Risk Treatment Program],0),MATCH($AO$3,tblRiskTreatmentPrograms[#Headers],0)))</f>
        <v/>
      </c>
      <c r="AP107" s="165"/>
      <c r="AQ10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7" s="19" t="str">
        <f>tblRisk[[#This Row],[Threat Cluster]]</f>
        <v>Hacking System</v>
      </c>
      <c r="AS107" s="156">
        <f>IF(ISBLANK(tblRisk[[#This Row],[Safeguard Threat Cluster]]),"",_xlfn.XLOOKUP(tblRisk[[#This Row],[Safeguard Threat Cluster]],tblHIT[Threat Cluster],tblHIT[Quintile]))</f>
        <v>2</v>
      </c>
      <c r="AT107" s="157">
        <f>_xlfn.SWITCH(tblRisk[[#This Row],[Risk Treatment Option]],"Manage",tblRisk[[#This Row],[Control Maturity]]+1,tblRisk[[#This Row],[Control Maturity]])</f>
        <v>5</v>
      </c>
      <c r="AU107" s="158" t="str">
        <f>IF(OR(ISBLANK(tblRisk[[#This Row],[Safeguard HIT Quintile]]),ISBLANK(tblRisk[[#This Row],[Control Maturity after SG]])),"",_xlfn.XLOOKUP(tblRisk[[#This Row],[Control Maturity after SG]] &amp;tblRisk[[#This Row],[Safeguard HIT Quintile]],tblHITWDI[Lookup],tblHITWDI[Likelihood Description]))</f>
        <v>Not Foreseeable</v>
      </c>
      <c r="AV107" s="166">
        <f>IF(ISERROR(tblRisk[[#This Row],[Likelihood of Control Failure after SG]]),"",VLOOKUP(tblRisk[[#This Row],[Likelihood of Control Failure after SG]],tblLikelihood[#Data],2,FALSE))</f>
        <v>1</v>
      </c>
      <c r="AW107" s="159">
        <f>tblRisk[[#This Row],[Impact to Mission]]</f>
        <v>3</v>
      </c>
      <c r="AX107" s="159">
        <f>tblRisk[[#This Row],[Impact to Objectives]]</f>
        <v>3</v>
      </c>
      <c r="AY107" s="159">
        <f>tblRisk[[#This Row],[Impact to Obligations]]</f>
        <v>4</v>
      </c>
      <c r="AZ107" s="166">
        <f>IF(ISBLANK(tblRisk[[#This Row],[Impact to Mission With Safeguard in Place]]),"",MAX(tblRisk[[#This Row],[Impact to Mission With Safeguard in Place]:[Impact to Obligations With Safeguard in Place]]))</f>
        <v>4</v>
      </c>
      <c r="BA107" s="167">
        <f>IF(ISERROR(tblRisk[[#This Row],[Impact Score with Safeguard in Place]]*tblRisk[[#This Row],[Likelihood Score with Safeguard in Place]]),"",tblRisk[[#This Row],[Impact Score with Safeguard in Place]]*tblRisk[[#This Row],[Likelihood Score with Safeguard in Place]])</f>
        <v>4</v>
      </c>
      <c r="BB107" s="164">
        <f>tblRisk[[#This Row],[Risk Score With Safeguard in Place]]</f>
        <v>4</v>
      </c>
      <c r="BC107" s="168" t="str">
        <f>IF(tblRisk[[#This Row],[Risk Treatment Option]]&lt;&gt;"Accept",IF(_xlfn.XLOOKUP(tblRisk[[#This Row],[Specific Safeguard Recommendation]],ProTrak[Task],ProTrak[Status],"Not Found")="Completed","Pending Validation","Pending"),"")</f>
        <v/>
      </c>
      <c r="BD107" s="169" t="str">
        <f>_xlfn.XLOOKUP(tblRisk[[#This Row],[Risk Treatment Program]],tblRiskTreatmentPrograms[Risk Treatment Program],tblRiskTreatmentPrograms[Estimated End Date (MM/DD/YYYY)],"")</f>
        <v/>
      </c>
      <c r="BE107" s="170"/>
      <c r="BF107" s="171" t="str">
        <f>_xlfn.IFNA(IF(tblRisk[[#This Row],[Due Date]]&lt;=vWhatIfQuarter,"Closed",""),"")</f>
        <v/>
      </c>
      <c r="BG107" s="171">
        <f>IF(tblRisk[[#This Row],[Scenario Builder Status]]="Closed",tblRisk[[#This Row],[Risk Score With Safeguard in Place]],tblRisk[[#This Row],[Risk Score]])</f>
        <v>4</v>
      </c>
      <c r="BH107" s="192" t="str">
        <f>tblRisk[[#This Row],[Common Security Program]]&amp;tblRisk[[#This Row],[Common Security Control]]&amp;tblRisk[[#This Row],[Asset Designation ]]</f>
        <v>Monitoring &amp; LoggingOperationNetwork</v>
      </c>
      <c r="BI107" s="191"/>
      <c r="BJ107" s="191"/>
      <c r="BK107" s="191"/>
      <c r="BL107" s="191"/>
      <c r="BM107" s="191"/>
      <c r="BN107" s="191"/>
      <c r="BO107" s="191"/>
      <c r="BP107" s="191"/>
      <c r="BQ107" s="191"/>
    </row>
    <row r="108" spans="1:69" ht="299.25" x14ac:dyDescent="0.65">
      <c r="A108" s="160">
        <v>105</v>
      </c>
      <c r="B108" s="160" t="s">
        <v>899</v>
      </c>
      <c r="C108" s="19" t="s">
        <v>980</v>
      </c>
      <c r="D108" s="28" t="s">
        <v>1226</v>
      </c>
      <c r="E108" s="207" t="s">
        <v>1092</v>
      </c>
      <c r="F108" s="194"/>
      <c r="G108" s="194"/>
      <c r="H108" s="194" t="s">
        <v>117</v>
      </c>
      <c r="I108" s="194" t="s">
        <v>1081</v>
      </c>
      <c r="J108" s="194" t="s">
        <v>1081</v>
      </c>
      <c r="K108" s="194" t="s">
        <v>1081</v>
      </c>
      <c r="L108" s="194" t="s">
        <v>1081</v>
      </c>
      <c r="M108" s="194" t="s">
        <v>1081</v>
      </c>
      <c r="N108" s="194">
        <f>COUNTIF(tblRisk[[#This Row],[Defends Against Malware]:[Defends Against Targeted Intrusions]],"Yes")</f>
        <v>5</v>
      </c>
      <c r="O108" s="160" t="s">
        <v>22</v>
      </c>
      <c r="P108" s="160" t="s">
        <v>88</v>
      </c>
      <c r="Q108" s="160" t="s">
        <v>611</v>
      </c>
      <c r="R108" s="160" t="s">
        <v>1082</v>
      </c>
      <c r="S108" s="160" t="s">
        <v>1431</v>
      </c>
      <c r="T108" s="160" t="s">
        <v>1429</v>
      </c>
      <c r="U108" s="160" t="s">
        <v>1430</v>
      </c>
      <c r="V108" s="19" t="s">
        <v>1669</v>
      </c>
      <c r="W108" s="160" t="s">
        <v>1709</v>
      </c>
      <c r="X108" s="160" t="s">
        <v>1827</v>
      </c>
      <c r="Y108" s="151">
        <f>IF(ISBLANK(tblRisk[[#This Row],[Threat Cluster]]),"",_xlfn.XLOOKUP(tblRisk[[#This Row],[Threat Cluster]],tblHIT[Threat Cluster],tblHIT[Quintile]))</f>
        <v>3</v>
      </c>
      <c r="Z108" s="152">
        <v>5</v>
      </c>
      <c r="AA108" s="153" t="str">
        <f>IF(OR(ISBLANK(tblRisk[[#This Row],[HIT Quintile]]),ISBLANK(tblRisk[[#This Row],[Control Maturity]])),"",_xlfn.XLOOKUP(tblRisk[[#This Row],[Control Maturity]] &amp; tblRisk[[#This Row],[HIT Quintile]],tblHITWDI[Lookup],tblHITWDI[Likelihood Description]))</f>
        <v>Not Foreseeable</v>
      </c>
      <c r="AB108" s="161">
        <f>IF(ISERROR(tblRisk[[#This Row],[Likelihood of Control Failure]]),"",VLOOKUP(tblRisk[[#This Row],[Likelihood of Control Failure]],tblLikelihood[],2,FALSE))</f>
        <v>1</v>
      </c>
      <c r="AC108" s="154">
        <v>3</v>
      </c>
      <c r="AD108" s="155">
        <v>3</v>
      </c>
      <c r="AE108" s="155">
        <v>4</v>
      </c>
      <c r="AF108" s="162">
        <f>IF(ISBLANK(tblRisk[[#This Row],[Impact to Mission]]),"",MAX(tblRisk[[#This Row],[Impact to Mission]:[Impact to Obligations]]))</f>
        <v>4</v>
      </c>
      <c r="AG108" s="163">
        <f>IF(ISERROR(tblRisk[[#This Row],[Impact Score]]*tblRisk[[#This Row],[Likelihood Score]]),"",tblRisk[[#This Row],[Likelihood Score]]*tblRisk[[#This Row],[Impact Score]])</f>
        <v>4</v>
      </c>
      <c r="AH108" s="163">
        <f>tblRisk[[#This Row],[Risk Score]]</f>
        <v>4</v>
      </c>
      <c r="AI108" s="164">
        <f t="shared" ref="AI108:AI156" si="3">valALR</f>
        <v>9</v>
      </c>
      <c r="AJ108" s="164">
        <f>IF(tblRisk[[#This Row],[Safeguard Status]]="In Place",tblRisk[[#This Row],[Control Maturity after SG]],tblRisk[[#This Row],[Control Maturity]])</f>
        <v>5</v>
      </c>
      <c r="AK108" s="173" t="str">
        <f>IF(tblRisk[[#This Row],[Safeguard Status]]="In Place",tblRisk[[#This Row],[Safeguard Threat Cluster]],tblRisk[[#This Row],[Threat Cluster]])</f>
        <v>Physical Facility</v>
      </c>
      <c r="AL108" s="164">
        <f>IF(tblRisk[[#This Row],[Safeguard Status]]="In Place",tblRisk[[#This Row],[Risk Level With Safeguard in Place]],tblRisk[[#This Row],[Risk Level]])</f>
        <v>4</v>
      </c>
      <c r="AM108" s="165" t="s">
        <v>1887</v>
      </c>
      <c r="AN108" s="165" t="str">
        <f>IF(tblRisk[[#This Row],[Risk Treatment Option]]="Manage",_xlfn.IFNA(INDEX(tblRiskTreatmentPrograms[#Data],MATCH(tblRisk[[#This Row],[Common Security Program]]&amp;tblRisk[[#This Row],[Common Security Control]],tblRiskTreatmentPrograms[Lookup],0),MATCH($AN$3,tblRiskTreatmentPrograms[#Headers],0)),txtBadRTP),"")</f>
        <v/>
      </c>
      <c r="AO108" s="165" t="str">
        <f>IF(tblRisk[[#This Row],[Risk Treatment Program]]="","",INDEX(tblRiskTreatmentPrograms[#Data],MATCH(tblRisk[[#This Row],[Risk Treatment Program]],tblRiskTreatmentPrograms[Risk Treatment Program],0),MATCH($AO$3,tblRiskTreatmentPrograms[#Headers],0)))</f>
        <v/>
      </c>
      <c r="AP108" s="165"/>
      <c r="AQ10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8" s="19" t="str">
        <f>tblRisk[[#This Row],[Threat Cluster]]</f>
        <v>Physical Facility</v>
      </c>
      <c r="AS108" s="156">
        <f>IF(ISBLANK(tblRisk[[#This Row],[Safeguard Threat Cluster]]),"",_xlfn.XLOOKUP(tblRisk[[#This Row],[Safeguard Threat Cluster]],tblHIT[Threat Cluster],tblHIT[Quintile]))</f>
        <v>3</v>
      </c>
      <c r="AT108" s="157">
        <f>_xlfn.SWITCH(tblRisk[[#This Row],[Risk Treatment Option]],"Manage",tblRisk[[#This Row],[Control Maturity]]+1,tblRisk[[#This Row],[Control Maturity]])</f>
        <v>5</v>
      </c>
      <c r="AU108" s="158" t="str">
        <f>IF(OR(ISBLANK(tblRisk[[#This Row],[Safeguard HIT Quintile]]),ISBLANK(tblRisk[[#This Row],[Control Maturity after SG]])),"",_xlfn.XLOOKUP(tblRisk[[#This Row],[Control Maturity after SG]] &amp;tblRisk[[#This Row],[Safeguard HIT Quintile]],tblHITWDI[Lookup],tblHITWDI[Likelihood Description]))</f>
        <v>Not Foreseeable</v>
      </c>
      <c r="AV108" s="166">
        <f>IF(ISERROR(tblRisk[[#This Row],[Likelihood of Control Failure after SG]]),"",VLOOKUP(tblRisk[[#This Row],[Likelihood of Control Failure after SG]],tblLikelihood[#Data],2,FALSE))</f>
        <v>1</v>
      </c>
      <c r="AW108" s="159">
        <f>tblRisk[[#This Row],[Impact to Mission]]</f>
        <v>3</v>
      </c>
      <c r="AX108" s="159">
        <f>tblRisk[[#This Row],[Impact to Objectives]]</f>
        <v>3</v>
      </c>
      <c r="AY108" s="159">
        <f>tblRisk[[#This Row],[Impact to Obligations]]</f>
        <v>4</v>
      </c>
      <c r="AZ108" s="166">
        <f>IF(ISBLANK(tblRisk[[#This Row],[Impact to Mission With Safeguard in Place]]),"",MAX(tblRisk[[#This Row],[Impact to Mission With Safeguard in Place]:[Impact to Obligations With Safeguard in Place]]))</f>
        <v>4</v>
      </c>
      <c r="BA108" s="167">
        <f>IF(ISERROR(tblRisk[[#This Row],[Impact Score with Safeguard in Place]]*tblRisk[[#This Row],[Likelihood Score with Safeguard in Place]]),"",tblRisk[[#This Row],[Impact Score with Safeguard in Place]]*tblRisk[[#This Row],[Likelihood Score with Safeguard in Place]])</f>
        <v>4</v>
      </c>
      <c r="BB108" s="164">
        <f>tblRisk[[#This Row],[Risk Score With Safeguard in Place]]</f>
        <v>4</v>
      </c>
      <c r="BC108" s="168" t="str">
        <f>IF(tblRisk[[#This Row],[Risk Treatment Option]]&lt;&gt;"Accept",IF(_xlfn.XLOOKUP(tblRisk[[#This Row],[Specific Safeguard Recommendation]],ProTrak[Task],ProTrak[Status],"Not Found")="Completed","Pending Validation","Pending"),"")</f>
        <v/>
      </c>
      <c r="BD108" s="169" t="str">
        <f>_xlfn.XLOOKUP(tblRisk[[#This Row],[Risk Treatment Program]],tblRiskTreatmentPrograms[Risk Treatment Program],tblRiskTreatmentPrograms[Estimated End Date (MM/DD/YYYY)],"")</f>
        <v/>
      </c>
      <c r="BE108" s="170"/>
      <c r="BF108" s="171" t="str">
        <f>_xlfn.IFNA(IF(tblRisk[[#This Row],[Due Date]]&lt;=vWhatIfQuarter,"Closed",""),"")</f>
        <v/>
      </c>
      <c r="BG108" s="171">
        <f>IF(tblRisk[[#This Row],[Scenario Builder Status]]="Closed",tblRisk[[#This Row],[Risk Score With Safeguard in Place]],tblRisk[[#This Row],[Risk Score]])</f>
        <v>4</v>
      </c>
      <c r="BH108" s="192" t="str">
        <f>tblRisk[[#This Row],[Common Security Program]]&amp;tblRisk[[#This Row],[Common Security Control]]&amp;tblRisk[[#This Row],[Asset Designation ]]</f>
        <v>Vulnerability ManagementOperationDevices</v>
      </c>
      <c r="BI108" s="191" t="s">
        <v>117</v>
      </c>
      <c r="BJ108" s="191"/>
      <c r="BK108" s="191"/>
      <c r="BL108" s="191"/>
      <c r="BM108" s="191"/>
      <c r="BN108" s="191"/>
      <c r="BO108" s="191"/>
      <c r="BP108" s="191"/>
      <c r="BQ108" s="191"/>
    </row>
    <row r="109" spans="1:69" ht="299.25" x14ac:dyDescent="0.65">
      <c r="A109" s="160">
        <v>106</v>
      </c>
      <c r="B109" s="160" t="s">
        <v>899</v>
      </c>
      <c r="C109" s="19" t="s">
        <v>981</v>
      </c>
      <c r="D109" s="28" t="s">
        <v>1227</v>
      </c>
      <c r="E109" s="207" t="s">
        <v>1092</v>
      </c>
      <c r="F109" s="194"/>
      <c r="G109" s="194"/>
      <c r="H109" s="194" t="s">
        <v>117</v>
      </c>
      <c r="I109" s="194" t="s">
        <v>1081</v>
      </c>
      <c r="J109" s="194" t="s">
        <v>1081</v>
      </c>
      <c r="K109" s="194" t="s">
        <v>1081</v>
      </c>
      <c r="L109" s="194" t="s">
        <v>1081</v>
      </c>
      <c r="M109" s="194" t="s">
        <v>1081</v>
      </c>
      <c r="N109" s="194">
        <f>COUNTIF(tblRisk[[#This Row],[Defends Against Malware]:[Defends Against Targeted Intrusions]],"Yes")</f>
        <v>5</v>
      </c>
      <c r="O109" s="160" t="s">
        <v>22</v>
      </c>
      <c r="P109" s="160" t="s">
        <v>88</v>
      </c>
      <c r="Q109" s="160" t="s">
        <v>611</v>
      </c>
      <c r="R109" s="160" t="s">
        <v>1085</v>
      </c>
      <c r="S109" s="160" t="s">
        <v>1431</v>
      </c>
      <c r="T109" s="160" t="s">
        <v>1429</v>
      </c>
      <c r="U109" s="160" t="s">
        <v>1430</v>
      </c>
      <c r="V109" s="19" t="s">
        <v>1670</v>
      </c>
      <c r="W109" s="160" t="s">
        <v>1709</v>
      </c>
      <c r="X109" s="160" t="s">
        <v>1828</v>
      </c>
      <c r="Y109" s="151">
        <f>IF(ISBLANK(tblRisk[[#This Row],[Threat Cluster]]),"",_xlfn.XLOOKUP(tblRisk[[#This Row],[Threat Cluster]],tblHIT[Threat Cluster],tblHIT[Quintile]))</f>
        <v>3</v>
      </c>
      <c r="Z109" s="152">
        <v>5</v>
      </c>
      <c r="AA109" s="153" t="str">
        <f>IF(OR(ISBLANK(tblRisk[[#This Row],[HIT Quintile]]),ISBLANK(tblRisk[[#This Row],[Control Maturity]])),"",_xlfn.XLOOKUP(tblRisk[[#This Row],[Control Maturity]] &amp; tblRisk[[#This Row],[HIT Quintile]],tblHITWDI[Lookup],tblHITWDI[Likelihood Description]))</f>
        <v>Not Foreseeable</v>
      </c>
      <c r="AB109" s="161">
        <f>IF(ISERROR(tblRisk[[#This Row],[Likelihood of Control Failure]]),"",VLOOKUP(tblRisk[[#This Row],[Likelihood of Control Failure]],tblLikelihood[],2,FALSE))</f>
        <v>1</v>
      </c>
      <c r="AC109" s="154">
        <v>3</v>
      </c>
      <c r="AD109" s="155">
        <v>3</v>
      </c>
      <c r="AE109" s="155">
        <v>4</v>
      </c>
      <c r="AF109" s="162">
        <f>IF(ISBLANK(tblRisk[[#This Row],[Impact to Mission]]),"",MAX(tblRisk[[#This Row],[Impact to Mission]:[Impact to Obligations]]))</f>
        <v>4</v>
      </c>
      <c r="AG109" s="163">
        <f>IF(ISERROR(tblRisk[[#This Row],[Impact Score]]*tblRisk[[#This Row],[Likelihood Score]]),"",tblRisk[[#This Row],[Likelihood Score]]*tblRisk[[#This Row],[Impact Score]])</f>
        <v>4</v>
      </c>
      <c r="AH109" s="163">
        <f>tblRisk[[#This Row],[Risk Score]]</f>
        <v>4</v>
      </c>
      <c r="AI109" s="164">
        <f t="shared" si="3"/>
        <v>9</v>
      </c>
      <c r="AJ109" s="164">
        <f>IF(tblRisk[[#This Row],[Safeguard Status]]="In Place",tblRisk[[#This Row],[Control Maturity after SG]],tblRisk[[#This Row],[Control Maturity]])</f>
        <v>5</v>
      </c>
      <c r="AK109" s="173" t="str">
        <f>IF(tblRisk[[#This Row],[Safeguard Status]]="In Place",tblRisk[[#This Row],[Safeguard Threat Cluster]],tblRisk[[#This Row],[Threat Cluster]])</f>
        <v>Physical Facility</v>
      </c>
      <c r="AL109" s="164">
        <f>IF(tblRisk[[#This Row],[Safeguard Status]]="In Place",tblRisk[[#This Row],[Risk Level With Safeguard in Place]],tblRisk[[#This Row],[Risk Level]])</f>
        <v>4</v>
      </c>
      <c r="AM109" s="165" t="s">
        <v>1887</v>
      </c>
      <c r="AN109" s="165" t="str">
        <f>IF(tblRisk[[#This Row],[Risk Treatment Option]]="Manage",_xlfn.IFNA(INDEX(tblRiskTreatmentPrograms[#Data],MATCH(tblRisk[[#This Row],[Common Security Program]]&amp;tblRisk[[#This Row],[Common Security Control]],tblRiskTreatmentPrograms[Lookup],0),MATCH($AN$3,tblRiskTreatmentPrograms[#Headers],0)),txtBadRTP),"")</f>
        <v/>
      </c>
      <c r="AO109" s="165" t="str">
        <f>IF(tblRisk[[#This Row],[Risk Treatment Program]]="","",INDEX(tblRiskTreatmentPrograms[#Data],MATCH(tblRisk[[#This Row],[Risk Treatment Program]],tblRiskTreatmentPrograms[Risk Treatment Program],0),MATCH($AO$3,tblRiskTreatmentPrograms[#Headers],0)))</f>
        <v/>
      </c>
      <c r="AP109" s="165"/>
      <c r="AQ10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09" s="19" t="str">
        <f>tblRisk[[#This Row],[Threat Cluster]]</f>
        <v>Physical Facility</v>
      </c>
      <c r="AS109" s="156">
        <f>IF(ISBLANK(tblRisk[[#This Row],[Safeguard Threat Cluster]]),"",_xlfn.XLOOKUP(tblRisk[[#This Row],[Safeguard Threat Cluster]],tblHIT[Threat Cluster],tblHIT[Quintile]))</f>
        <v>3</v>
      </c>
      <c r="AT109" s="157">
        <f>_xlfn.SWITCH(tblRisk[[#This Row],[Risk Treatment Option]],"Manage",tblRisk[[#This Row],[Control Maturity]]+1,tblRisk[[#This Row],[Control Maturity]])</f>
        <v>5</v>
      </c>
      <c r="AU109" s="158" t="str">
        <f>IF(OR(ISBLANK(tblRisk[[#This Row],[Safeguard HIT Quintile]]),ISBLANK(tblRisk[[#This Row],[Control Maturity after SG]])),"",_xlfn.XLOOKUP(tblRisk[[#This Row],[Control Maturity after SG]] &amp;tblRisk[[#This Row],[Safeguard HIT Quintile]],tblHITWDI[Lookup],tblHITWDI[Likelihood Description]))</f>
        <v>Not Foreseeable</v>
      </c>
      <c r="AV109" s="166">
        <f>IF(ISERROR(tblRisk[[#This Row],[Likelihood of Control Failure after SG]]),"",VLOOKUP(tblRisk[[#This Row],[Likelihood of Control Failure after SG]],tblLikelihood[#Data],2,FALSE))</f>
        <v>1</v>
      </c>
      <c r="AW109" s="159">
        <f>tblRisk[[#This Row],[Impact to Mission]]</f>
        <v>3</v>
      </c>
      <c r="AX109" s="159">
        <f>tblRisk[[#This Row],[Impact to Objectives]]</f>
        <v>3</v>
      </c>
      <c r="AY109" s="159">
        <f>tblRisk[[#This Row],[Impact to Obligations]]</f>
        <v>4</v>
      </c>
      <c r="AZ109" s="166">
        <f>IF(ISBLANK(tblRisk[[#This Row],[Impact to Mission With Safeguard in Place]]),"",MAX(tblRisk[[#This Row],[Impact to Mission With Safeguard in Place]:[Impact to Obligations With Safeguard in Place]]))</f>
        <v>4</v>
      </c>
      <c r="BA109" s="167">
        <f>IF(ISERROR(tblRisk[[#This Row],[Impact Score with Safeguard in Place]]*tblRisk[[#This Row],[Likelihood Score with Safeguard in Place]]),"",tblRisk[[#This Row],[Impact Score with Safeguard in Place]]*tblRisk[[#This Row],[Likelihood Score with Safeguard in Place]])</f>
        <v>4</v>
      </c>
      <c r="BB109" s="164">
        <f>tblRisk[[#This Row],[Risk Score With Safeguard in Place]]</f>
        <v>4</v>
      </c>
      <c r="BC109" s="168" t="str">
        <f>IF(tblRisk[[#This Row],[Risk Treatment Option]]&lt;&gt;"Accept",IF(_xlfn.XLOOKUP(tblRisk[[#This Row],[Specific Safeguard Recommendation]],ProTrak[Task],ProTrak[Status],"Not Found")="Completed","Pending Validation","Pending"),"")</f>
        <v/>
      </c>
      <c r="BD109" s="169" t="str">
        <f>_xlfn.XLOOKUP(tblRisk[[#This Row],[Risk Treatment Program]],tblRiskTreatmentPrograms[Risk Treatment Program],tblRiskTreatmentPrograms[Estimated End Date (MM/DD/YYYY)],"")</f>
        <v/>
      </c>
      <c r="BE109" s="170"/>
      <c r="BF109" s="171" t="str">
        <f>_xlfn.IFNA(IF(tblRisk[[#This Row],[Due Date]]&lt;=vWhatIfQuarter,"Closed",""),"")</f>
        <v/>
      </c>
      <c r="BG109" s="171">
        <f>IF(tblRisk[[#This Row],[Scenario Builder Status]]="Closed",tblRisk[[#This Row],[Risk Score With Safeguard in Place]],tblRisk[[#This Row],[Risk Score]])</f>
        <v>4</v>
      </c>
      <c r="BH109" s="192" t="str">
        <f>tblRisk[[#This Row],[Common Security Program]]&amp;tblRisk[[#This Row],[Common Security Control]]&amp;tblRisk[[#This Row],[Asset Designation ]]</f>
        <v>Vulnerability ManagementOperationNetwork</v>
      </c>
      <c r="BI109" s="191" t="s">
        <v>117</v>
      </c>
      <c r="BJ109" s="191"/>
      <c r="BK109" s="191"/>
      <c r="BL109" s="191"/>
      <c r="BM109" s="191"/>
      <c r="BN109" s="191"/>
      <c r="BO109" s="191"/>
      <c r="BP109" s="191"/>
      <c r="BQ109" s="191"/>
    </row>
    <row r="110" spans="1:69" ht="94.5" x14ac:dyDescent="0.65">
      <c r="A110" s="160">
        <v>107</v>
      </c>
      <c r="B110" s="160" t="s">
        <v>899</v>
      </c>
      <c r="C110" s="19" t="s">
        <v>982</v>
      </c>
      <c r="D110" s="28" t="s">
        <v>1228</v>
      </c>
      <c r="E110" s="207" t="s">
        <v>1092</v>
      </c>
      <c r="F110" s="194"/>
      <c r="G110" s="194"/>
      <c r="H110" s="194" t="s">
        <v>117</v>
      </c>
      <c r="I110" s="194" t="s">
        <v>1080</v>
      </c>
      <c r="J110" s="194" t="s">
        <v>1080</v>
      </c>
      <c r="K110" s="194" t="s">
        <v>1080</v>
      </c>
      <c r="L110" s="194" t="s">
        <v>1080</v>
      </c>
      <c r="M110" s="194" t="s">
        <v>1080</v>
      </c>
      <c r="N110" s="194">
        <f>COUNTIF(tblRisk[[#This Row],[Defends Against Malware]:[Defends Against Targeted Intrusions]],"Yes")</f>
        <v>0</v>
      </c>
      <c r="O110" s="160" t="s">
        <v>654</v>
      </c>
      <c r="P110" s="160" t="s">
        <v>88</v>
      </c>
      <c r="Q110" s="160" t="s">
        <v>30</v>
      </c>
      <c r="R110" s="160" t="s">
        <v>1082</v>
      </c>
      <c r="S110" s="160" t="s">
        <v>1087</v>
      </c>
      <c r="T110" s="160" t="s">
        <v>1439</v>
      </c>
      <c r="U110" s="160" t="s">
        <v>1440</v>
      </c>
      <c r="V110" s="19" t="s">
        <v>1671</v>
      </c>
      <c r="W110" s="160" t="s">
        <v>1709</v>
      </c>
      <c r="X110" s="160" t="s">
        <v>1829</v>
      </c>
      <c r="Y110" s="151">
        <f>IF(ISBLANK(tblRisk[[#This Row],[Threat Cluster]]),"",_xlfn.XLOOKUP(tblRisk[[#This Row],[Threat Cluster]],tblHIT[Threat Cluster],tblHIT[Quintile]))</f>
        <v>2</v>
      </c>
      <c r="Z110" s="152">
        <v>4</v>
      </c>
      <c r="AA110" s="153" t="str">
        <f>IF(OR(ISBLANK(tblRisk[[#This Row],[HIT Quintile]]),ISBLANK(tblRisk[[#This Row],[Control Maturity]])),"",_xlfn.XLOOKUP(tblRisk[[#This Row],[Control Maturity]] &amp; tblRisk[[#This Row],[HIT Quintile]],tblHITWDI[Lookup],tblHITWDI[Likelihood Description]))</f>
        <v>Foreseeable, not expected</v>
      </c>
      <c r="AB110" s="161">
        <f>IF(ISERROR(tblRisk[[#This Row],[Likelihood of Control Failure]]),"",VLOOKUP(tblRisk[[#This Row],[Likelihood of Control Failure]],tblLikelihood[],2,FALSE))</f>
        <v>2</v>
      </c>
      <c r="AC110" s="154">
        <v>3</v>
      </c>
      <c r="AD110" s="155">
        <v>3</v>
      </c>
      <c r="AE110" s="155">
        <v>4</v>
      </c>
      <c r="AF110" s="162">
        <f>IF(ISBLANK(tblRisk[[#This Row],[Impact to Mission]]),"",MAX(tblRisk[[#This Row],[Impact to Mission]:[Impact to Obligations]]))</f>
        <v>4</v>
      </c>
      <c r="AG110" s="163">
        <f>IF(ISERROR(tblRisk[[#This Row],[Impact Score]]*tblRisk[[#This Row],[Likelihood Score]]),"",tblRisk[[#This Row],[Likelihood Score]]*tblRisk[[#This Row],[Impact Score]])</f>
        <v>8</v>
      </c>
      <c r="AH110" s="163">
        <f>tblRisk[[#This Row],[Risk Score]]</f>
        <v>8</v>
      </c>
      <c r="AI110" s="164">
        <f t="shared" si="3"/>
        <v>9</v>
      </c>
      <c r="AJ110" s="164">
        <f>IF(tblRisk[[#This Row],[Safeguard Status]]="In Place",tblRisk[[#This Row],[Control Maturity after SG]],tblRisk[[#This Row],[Control Maturity]])</f>
        <v>4</v>
      </c>
      <c r="AK110" s="173" t="str">
        <f>IF(tblRisk[[#This Row],[Safeguard Status]]="In Place",tblRisk[[#This Row],[Safeguard Threat Cluster]],tblRisk[[#This Row],[Threat Cluster]])</f>
        <v>Hacking System</v>
      </c>
      <c r="AL110" s="164">
        <f>IF(tblRisk[[#This Row],[Safeguard Status]]="In Place",tblRisk[[#This Row],[Risk Level With Safeguard in Place]],tblRisk[[#This Row],[Risk Level]])</f>
        <v>8</v>
      </c>
      <c r="AM110" s="165" t="s">
        <v>1887</v>
      </c>
      <c r="AN110" s="165" t="str">
        <f>IF(tblRisk[[#This Row],[Risk Treatment Option]]="Manage",_xlfn.IFNA(INDEX(tblRiskTreatmentPrograms[#Data],MATCH(tblRisk[[#This Row],[Common Security Program]]&amp;tblRisk[[#This Row],[Common Security Control]],tblRiskTreatmentPrograms[Lookup],0),MATCH($AN$3,tblRiskTreatmentPrograms[#Headers],0)),txtBadRTP),"")</f>
        <v/>
      </c>
      <c r="AO110" s="165" t="str">
        <f>IF(tblRisk[[#This Row],[Risk Treatment Program]]="","",INDEX(tblRiskTreatmentPrograms[#Data],MATCH(tblRisk[[#This Row],[Risk Treatment Program]],tblRiskTreatmentPrograms[Risk Treatment Program],0),MATCH($AO$3,tblRiskTreatmentPrograms[#Headers],0)))</f>
        <v/>
      </c>
      <c r="AP110" s="165"/>
      <c r="AQ11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0" s="19" t="str">
        <f>tblRisk[[#This Row],[Threat Cluster]]</f>
        <v>Hacking System</v>
      </c>
      <c r="AS110" s="156">
        <f>IF(ISBLANK(tblRisk[[#This Row],[Safeguard Threat Cluster]]),"",_xlfn.XLOOKUP(tblRisk[[#This Row],[Safeguard Threat Cluster]],tblHIT[Threat Cluster],tblHIT[Quintile]))</f>
        <v>2</v>
      </c>
      <c r="AT110" s="157">
        <f>_xlfn.SWITCH(tblRisk[[#This Row],[Risk Treatment Option]],"Manage",tblRisk[[#This Row],[Control Maturity]]+1,tblRisk[[#This Row],[Control Maturity]])</f>
        <v>4</v>
      </c>
      <c r="AU11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0" s="166">
        <f>IF(ISERROR(tblRisk[[#This Row],[Likelihood of Control Failure after SG]]),"",VLOOKUP(tblRisk[[#This Row],[Likelihood of Control Failure after SG]],tblLikelihood[#Data],2,FALSE))</f>
        <v>2</v>
      </c>
      <c r="AW110" s="159">
        <f>tblRisk[[#This Row],[Impact to Mission]]</f>
        <v>3</v>
      </c>
      <c r="AX110" s="159">
        <f>tblRisk[[#This Row],[Impact to Objectives]]</f>
        <v>3</v>
      </c>
      <c r="AY110" s="159">
        <f>tblRisk[[#This Row],[Impact to Obligations]]</f>
        <v>4</v>
      </c>
      <c r="AZ110" s="166">
        <f>IF(ISBLANK(tblRisk[[#This Row],[Impact to Mission With Safeguard in Place]]),"",MAX(tblRisk[[#This Row],[Impact to Mission With Safeguard in Place]:[Impact to Obligations With Safeguard in Place]]))</f>
        <v>4</v>
      </c>
      <c r="BA110" s="167">
        <f>IF(ISERROR(tblRisk[[#This Row],[Impact Score with Safeguard in Place]]*tblRisk[[#This Row],[Likelihood Score with Safeguard in Place]]),"",tblRisk[[#This Row],[Impact Score with Safeguard in Place]]*tblRisk[[#This Row],[Likelihood Score with Safeguard in Place]])</f>
        <v>8</v>
      </c>
      <c r="BB110" s="164">
        <f>tblRisk[[#This Row],[Risk Score With Safeguard in Place]]</f>
        <v>8</v>
      </c>
      <c r="BC110" s="168" t="str">
        <f>IF(tblRisk[[#This Row],[Risk Treatment Option]]&lt;&gt;"Accept",IF(_xlfn.XLOOKUP(tblRisk[[#This Row],[Specific Safeguard Recommendation]],ProTrak[Task],ProTrak[Status],"Not Found")="Completed","Pending Validation","Pending"),"")</f>
        <v/>
      </c>
      <c r="BD110" s="169" t="str">
        <f>_xlfn.XLOOKUP(tblRisk[[#This Row],[Risk Treatment Program]],tblRiskTreatmentPrograms[Risk Treatment Program],tblRiskTreatmentPrograms[Estimated End Date (MM/DD/YYYY)],"")</f>
        <v/>
      </c>
      <c r="BE110" s="170"/>
      <c r="BF110" s="171" t="str">
        <f>_xlfn.IFNA(IF(tblRisk[[#This Row],[Due Date]]&lt;=vWhatIfQuarter,"Closed",""),"")</f>
        <v/>
      </c>
      <c r="BG110" s="171">
        <f>IF(tblRisk[[#This Row],[Scenario Builder Status]]="Closed",tblRisk[[#This Row],[Risk Score With Safeguard in Place]],tblRisk[[#This Row],[Risk Score]])</f>
        <v>8</v>
      </c>
      <c r="BH110" s="192" t="str">
        <f>tblRisk[[#This Row],[Common Security Program]]&amp;tblRisk[[#This Row],[Common Security Control]]&amp;tblRisk[[#This Row],[Asset Designation ]]</f>
        <v>Network Device ManagementOperationDevices</v>
      </c>
      <c r="BI110" s="191"/>
      <c r="BJ110" s="191"/>
      <c r="BK110" s="191"/>
      <c r="BL110" s="191"/>
      <c r="BM110" s="191"/>
      <c r="BN110" s="191"/>
      <c r="BO110" s="191"/>
      <c r="BP110" s="191"/>
      <c r="BQ110" s="191"/>
    </row>
    <row r="111" spans="1:69" ht="78.75" x14ac:dyDescent="0.65">
      <c r="A111" s="160">
        <v>108</v>
      </c>
      <c r="B111" s="160" t="s">
        <v>899</v>
      </c>
      <c r="C111" s="19" t="s">
        <v>983</v>
      </c>
      <c r="D111" s="28" t="s">
        <v>1229</v>
      </c>
      <c r="E111" s="207" t="s">
        <v>1092</v>
      </c>
      <c r="F111" s="194"/>
      <c r="G111" s="194"/>
      <c r="H111" s="194" t="s">
        <v>117</v>
      </c>
      <c r="I111" s="194" t="s">
        <v>1081</v>
      </c>
      <c r="J111" s="194" t="s">
        <v>1081</v>
      </c>
      <c r="K111" s="194" t="s">
        <v>1081</v>
      </c>
      <c r="L111" s="194" t="s">
        <v>1081</v>
      </c>
      <c r="M111" s="194" t="s">
        <v>1081</v>
      </c>
      <c r="N111" s="194">
        <f>COUNTIF(tblRisk[[#This Row],[Defends Against Malware]:[Defends Against Targeted Intrusions]],"Yes")</f>
        <v>5</v>
      </c>
      <c r="O111" s="160" t="s">
        <v>654</v>
      </c>
      <c r="P111" s="160" t="s">
        <v>88</v>
      </c>
      <c r="Q111" s="160" t="s">
        <v>30</v>
      </c>
      <c r="R111" s="160" t="s">
        <v>1085</v>
      </c>
      <c r="S111" s="160" t="s">
        <v>1087</v>
      </c>
      <c r="T111" s="160" t="s">
        <v>1439</v>
      </c>
      <c r="U111" s="160" t="s">
        <v>1440</v>
      </c>
      <c r="V111" s="160" t="s">
        <v>1673</v>
      </c>
      <c r="W111" s="160" t="s">
        <v>1709</v>
      </c>
      <c r="X111" s="160" t="s">
        <v>1830</v>
      </c>
      <c r="Y111" s="151">
        <f>IF(ISBLANK(tblRisk[[#This Row],[Threat Cluster]]),"",_xlfn.XLOOKUP(tblRisk[[#This Row],[Threat Cluster]],tblHIT[Threat Cluster],tblHIT[Quintile]))</f>
        <v>2</v>
      </c>
      <c r="Z111" s="152">
        <v>4</v>
      </c>
      <c r="AA111" s="153" t="str">
        <f>IF(OR(ISBLANK(tblRisk[[#This Row],[HIT Quintile]]),ISBLANK(tblRisk[[#This Row],[Control Maturity]])),"",_xlfn.XLOOKUP(tblRisk[[#This Row],[Control Maturity]] &amp; tblRisk[[#This Row],[HIT Quintile]],tblHITWDI[Lookup],tblHITWDI[Likelihood Description]))</f>
        <v>Foreseeable, not expected</v>
      </c>
      <c r="AB111" s="161">
        <f>IF(ISERROR(tblRisk[[#This Row],[Likelihood of Control Failure]]),"",VLOOKUP(tblRisk[[#This Row],[Likelihood of Control Failure]],tblLikelihood[],2,FALSE))</f>
        <v>2</v>
      </c>
      <c r="AC111" s="154">
        <v>3</v>
      </c>
      <c r="AD111" s="155">
        <v>3</v>
      </c>
      <c r="AE111" s="155">
        <v>4</v>
      </c>
      <c r="AF111" s="162">
        <f>IF(ISBLANK(tblRisk[[#This Row],[Impact to Mission]]),"",MAX(tblRisk[[#This Row],[Impact to Mission]:[Impact to Obligations]]))</f>
        <v>4</v>
      </c>
      <c r="AG111" s="163">
        <f>IF(ISERROR(tblRisk[[#This Row],[Impact Score]]*tblRisk[[#This Row],[Likelihood Score]]),"",tblRisk[[#This Row],[Likelihood Score]]*tblRisk[[#This Row],[Impact Score]])</f>
        <v>8</v>
      </c>
      <c r="AH111" s="163">
        <f>tblRisk[[#This Row],[Risk Score]]</f>
        <v>8</v>
      </c>
      <c r="AI111" s="164">
        <f t="shared" si="3"/>
        <v>9</v>
      </c>
      <c r="AJ111" s="164">
        <f>IF(tblRisk[[#This Row],[Safeguard Status]]="In Place",tblRisk[[#This Row],[Control Maturity after SG]],tblRisk[[#This Row],[Control Maturity]])</f>
        <v>4</v>
      </c>
      <c r="AK111" s="173" t="str">
        <f>IF(tblRisk[[#This Row],[Safeguard Status]]="In Place",tblRisk[[#This Row],[Safeguard Threat Cluster]],tblRisk[[#This Row],[Threat Cluster]])</f>
        <v>Hacking System</v>
      </c>
      <c r="AL111" s="164">
        <f>IF(tblRisk[[#This Row],[Safeguard Status]]="In Place",tblRisk[[#This Row],[Risk Level With Safeguard in Place]],tblRisk[[#This Row],[Risk Level]])</f>
        <v>8</v>
      </c>
      <c r="AM111" s="165" t="s">
        <v>1887</v>
      </c>
      <c r="AN111" s="165" t="str">
        <f>IF(tblRisk[[#This Row],[Risk Treatment Option]]="Manage",_xlfn.IFNA(INDEX(tblRiskTreatmentPrograms[#Data],MATCH(tblRisk[[#This Row],[Common Security Program]]&amp;tblRisk[[#This Row],[Common Security Control]],tblRiskTreatmentPrograms[Lookup],0),MATCH($AN$3,tblRiskTreatmentPrograms[#Headers],0)),txtBadRTP),"")</f>
        <v/>
      </c>
      <c r="AO111" s="165" t="str">
        <f>IF(tblRisk[[#This Row],[Risk Treatment Program]]="","",INDEX(tblRiskTreatmentPrograms[#Data],MATCH(tblRisk[[#This Row],[Risk Treatment Program]],tblRiskTreatmentPrograms[Risk Treatment Program],0),MATCH($AO$3,tblRiskTreatmentPrograms[#Headers],0)))</f>
        <v/>
      </c>
      <c r="AP111" s="165"/>
      <c r="AQ11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1" s="19" t="str">
        <f>tblRisk[[#This Row],[Threat Cluster]]</f>
        <v>Hacking System</v>
      </c>
      <c r="AS111" s="156">
        <f>IF(ISBLANK(tblRisk[[#This Row],[Safeguard Threat Cluster]]),"",_xlfn.XLOOKUP(tblRisk[[#This Row],[Safeguard Threat Cluster]],tblHIT[Threat Cluster],tblHIT[Quintile]))</f>
        <v>2</v>
      </c>
      <c r="AT111" s="157">
        <f>_xlfn.SWITCH(tblRisk[[#This Row],[Risk Treatment Option]],"Manage",tblRisk[[#This Row],[Control Maturity]]+1,tblRisk[[#This Row],[Control Maturity]])</f>
        <v>4</v>
      </c>
      <c r="AU11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1" s="166">
        <f>IF(ISERROR(tblRisk[[#This Row],[Likelihood of Control Failure after SG]]),"",VLOOKUP(tblRisk[[#This Row],[Likelihood of Control Failure after SG]],tblLikelihood[#Data],2,FALSE))</f>
        <v>2</v>
      </c>
      <c r="AW111" s="159">
        <f>tblRisk[[#This Row],[Impact to Mission]]</f>
        <v>3</v>
      </c>
      <c r="AX111" s="159">
        <f>tblRisk[[#This Row],[Impact to Objectives]]</f>
        <v>3</v>
      </c>
      <c r="AY111" s="159">
        <f>tblRisk[[#This Row],[Impact to Obligations]]</f>
        <v>4</v>
      </c>
      <c r="AZ111" s="166">
        <f>IF(ISBLANK(tblRisk[[#This Row],[Impact to Mission With Safeguard in Place]]),"",MAX(tblRisk[[#This Row],[Impact to Mission With Safeguard in Place]:[Impact to Obligations With Safeguard in Place]]))</f>
        <v>4</v>
      </c>
      <c r="BA111" s="167">
        <f>IF(ISERROR(tblRisk[[#This Row],[Impact Score with Safeguard in Place]]*tblRisk[[#This Row],[Likelihood Score with Safeguard in Place]]),"",tblRisk[[#This Row],[Impact Score with Safeguard in Place]]*tblRisk[[#This Row],[Likelihood Score with Safeguard in Place]])</f>
        <v>8</v>
      </c>
      <c r="BB111" s="164">
        <f>tblRisk[[#This Row],[Risk Score With Safeguard in Place]]</f>
        <v>8</v>
      </c>
      <c r="BC111" s="168" t="str">
        <f>IF(tblRisk[[#This Row],[Risk Treatment Option]]&lt;&gt;"Accept",IF(_xlfn.XLOOKUP(tblRisk[[#This Row],[Specific Safeguard Recommendation]],ProTrak[Task],ProTrak[Status],"Not Found")="Completed","Pending Validation","Pending"),"")</f>
        <v/>
      </c>
      <c r="BD111" s="169" t="str">
        <f>_xlfn.XLOOKUP(tblRisk[[#This Row],[Risk Treatment Program]],tblRiskTreatmentPrograms[Risk Treatment Program],tblRiskTreatmentPrograms[Estimated End Date (MM/DD/YYYY)],"")</f>
        <v/>
      </c>
      <c r="BE111" s="170"/>
      <c r="BF111" s="171" t="str">
        <f>_xlfn.IFNA(IF(tblRisk[[#This Row],[Due Date]]&lt;=vWhatIfQuarter,"Closed",""),"")</f>
        <v/>
      </c>
      <c r="BG111" s="171">
        <f>IF(tblRisk[[#This Row],[Scenario Builder Status]]="Closed",tblRisk[[#This Row],[Risk Score With Safeguard in Place]],tblRisk[[#This Row],[Risk Score]])</f>
        <v>8</v>
      </c>
      <c r="BH111" s="192" t="str">
        <f>tblRisk[[#This Row],[Common Security Program]]&amp;tblRisk[[#This Row],[Common Security Control]]&amp;tblRisk[[#This Row],[Asset Designation ]]</f>
        <v>Network Device ManagementOperationNetwork</v>
      </c>
      <c r="BI111" s="191" t="s">
        <v>117</v>
      </c>
      <c r="BJ111" s="191"/>
      <c r="BK111" s="191"/>
      <c r="BL111" s="191"/>
      <c r="BM111" s="191"/>
      <c r="BN111" s="191"/>
      <c r="BO111" s="191"/>
      <c r="BP111" s="191"/>
      <c r="BQ111" s="191"/>
    </row>
    <row r="112" spans="1:69" ht="267.75" x14ac:dyDescent="0.65">
      <c r="A112" s="160">
        <v>109</v>
      </c>
      <c r="B112" s="160" t="s">
        <v>899</v>
      </c>
      <c r="C112" s="19" t="s">
        <v>984</v>
      </c>
      <c r="D112" s="28" t="s">
        <v>1230</v>
      </c>
      <c r="E112" s="207" t="s">
        <v>1091</v>
      </c>
      <c r="F112" s="194"/>
      <c r="G112" s="194"/>
      <c r="H112" s="194" t="s">
        <v>117</v>
      </c>
      <c r="I112" s="194" t="s">
        <v>1080</v>
      </c>
      <c r="J112" s="194" t="s">
        <v>1080</v>
      </c>
      <c r="K112" s="194" t="s">
        <v>1080</v>
      </c>
      <c r="L112" s="194" t="s">
        <v>1080</v>
      </c>
      <c r="M112" s="194" t="s">
        <v>1080</v>
      </c>
      <c r="N112" s="194">
        <f>COUNTIF(tblRisk[[#This Row],[Defends Against Malware]:[Defends Against Targeted Intrusions]],"Yes")</f>
        <v>0</v>
      </c>
      <c r="O112" s="160" t="s">
        <v>21</v>
      </c>
      <c r="P112" s="160" t="s">
        <v>88</v>
      </c>
      <c r="Q112" s="160" t="s">
        <v>30</v>
      </c>
      <c r="R112" s="160" t="s">
        <v>1085</v>
      </c>
      <c r="S112" s="160" t="s">
        <v>1426</v>
      </c>
      <c r="T112" s="160" t="s">
        <v>1425</v>
      </c>
      <c r="U112" s="19" t="s">
        <v>1906</v>
      </c>
      <c r="V112" s="19" t="s">
        <v>1674</v>
      </c>
      <c r="W112" s="160" t="s">
        <v>1709</v>
      </c>
      <c r="X112" s="160" t="s">
        <v>1831</v>
      </c>
      <c r="Y112" s="151">
        <f>IF(ISBLANK(tblRisk[[#This Row],[Threat Cluster]]),"",_xlfn.XLOOKUP(tblRisk[[#This Row],[Threat Cluster]],tblHIT[Threat Cluster],tblHIT[Quintile]))</f>
        <v>2</v>
      </c>
      <c r="Z112" s="152">
        <v>4</v>
      </c>
      <c r="AA112" s="153" t="str">
        <f>IF(OR(ISBLANK(tblRisk[[#This Row],[HIT Quintile]]),ISBLANK(tblRisk[[#This Row],[Control Maturity]])),"",_xlfn.XLOOKUP(tblRisk[[#This Row],[Control Maturity]] &amp; tblRisk[[#This Row],[HIT Quintile]],tblHITWDI[Lookup],tblHITWDI[Likelihood Description]))</f>
        <v>Foreseeable, not expected</v>
      </c>
      <c r="AB112" s="161">
        <f>IF(ISERROR(tblRisk[[#This Row],[Likelihood of Control Failure]]),"",VLOOKUP(tblRisk[[#This Row],[Likelihood of Control Failure]],tblLikelihood[],2,FALSE))</f>
        <v>2</v>
      </c>
      <c r="AC112" s="154">
        <v>3</v>
      </c>
      <c r="AD112" s="155">
        <v>3</v>
      </c>
      <c r="AE112" s="155">
        <v>4</v>
      </c>
      <c r="AF112" s="162">
        <f>IF(ISBLANK(tblRisk[[#This Row],[Impact to Mission]]),"",MAX(tblRisk[[#This Row],[Impact to Mission]:[Impact to Obligations]]))</f>
        <v>4</v>
      </c>
      <c r="AG112" s="163">
        <f>IF(ISERROR(tblRisk[[#This Row],[Impact Score]]*tblRisk[[#This Row],[Likelihood Score]]),"",tblRisk[[#This Row],[Likelihood Score]]*tblRisk[[#This Row],[Impact Score]])</f>
        <v>8</v>
      </c>
      <c r="AH112" s="163">
        <f>tblRisk[[#This Row],[Risk Score]]</f>
        <v>8</v>
      </c>
      <c r="AI112" s="164">
        <f t="shared" si="3"/>
        <v>9</v>
      </c>
      <c r="AJ112" s="164">
        <f>IF(tblRisk[[#This Row],[Safeguard Status]]="In Place",tblRisk[[#This Row],[Control Maturity after SG]],tblRisk[[#This Row],[Control Maturity]])</f>
        <v>4</v>
      </c>
      <c r="AK112" s="173" t="str">
        <f>IF(tblRisk[[#This Row],[Safeguard Status]]="In Place",tblRisk[[#This Row],[Safeguard Threat Cluster]],tblRisk[[#This Row],[Threat Cluster]])</f>
        <v>Hacking System</v>
      </c>
      <c r="AL112" s="164">
        <f>IF(tblRisk[[#This Row],[Safeguard Status]]="In Place",tblRisk[[#This Row],[Risk Level With Safeguard in Place]],tblRisk[[#This Row],[Risk Level]])</f>
        <v>8</v>
      </c>
      <c r="AM112" s="165" t="s">
        <v>1887</v>
      </c>
      <c r="AN112" s="165" t="str">
        <f>IF(tblRisk[[#This Row],[Risk Treatment Option]]="Manage",_xlfn.IFNA(INDEX(tblRiskTreatmentPrograms[#Data],MATCH(tblRisk[[#This Row],[Common Security Program]]&amp;tblRisk[[#This Row],[Common Security Control]],tblRiskTreatmentPrograms[Lookup],0),MATCH($AN$3,tblRiskTreatmentPrograms[#Headers],0)),txtBadRTP),"")</f>
        <v/>
      </c>
      <c r="AO112" s="165" t="str">
        <f>IF(tblRisk[[#This Row],[Risk Treatment Program]]="","",INDEX(tblRiskTreatmentPrograms[#Data],MATCH(tblRisk[[#This Row],[Risk Treatment Program]],tblRiskTreatmentPrograms[Risk Treatment Program],0),MATCH($AO$3,tblRiskTreatmentPrograms[#Headers],0)))</f>
        <v/>
      </c>
      <c r="AP112" s="165"/>
      <c r="AQ11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2" s="19" t="str">
        <f>tblRisk[[#This Row],[Threat Cluster]]</f>
        <v>Hacking System</v>
      </c>
      <c r="AS112" s="156">
        <f>IF(ISBLANK(tblRisk[[#This Row],[Safeguard Threat Cluster]]),"",_xlfn.XLOOKUP(tblRisk[[#This Row],[Safeguard Threat Cluster]],tblHIT[Threat Cluster],tblHIT[Quintile]))</f>
        <v>2</v>
      </c>
      <c r="AT112" s="157">
        <f>_xlfn.SWITCH(tblRisk[[#This Row],[Risk Treatment Option]],"Manage",tblRisk[[#This Row],[Control Maturity]]+1,tblRisk[[#This Row],[Control Maturity]])</f>
        <v>4</v>
      </c>
      <c r="AU11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2" s="166">
        <f>IF(ISERROR(tblRisk[[#This Row],[Likelihood of Control Failure after SG]]),"",VLOOKUP(tblRisk[[#This Row],[Likelihood of Control Failure after SG]],tblLikelihood[#Data],2,FALSE))</f>
        <v>2</v>
      </c>
      <c r="AW112" s="159">
        <f>tblRisk[[#This Row],[Impact to Mission]]</f>
        <v>3</v>
      </c>
      <c r="AX112" s="159">
        <f>tblRisk[[#This Row],[Impact to Objectives]]</f>
        <v>3</v>
      </c>
      <c r="AY112" s="159">
        <f>tblRisk[[#This Row],[Impact to Obligations]]</f>
        <v>4</v>
      </c>
      <c r="AZ112" s="166">
        <f>IF(ISBLANK(tblRisk[[#This Row],[Impact to Mission With Safeguard in Place]]),"",MAX(tblRisk[[#This Row],[Impact to Mission With Safeguard in Place]:[Impact to Obligations With Safeguard in Place]]))</f>
        <v>4</v>
      </c>
      <c r="BA112" s="167">
        <f>IF(ISERROR(tblRisk[[#This Row],[Impact Score with Safeguard in Place]]*tblRisk[[#This Row],[Likelihood Score with Safeguard in Place]]),"",tblRisk[[#This Row],[Impact Score with Safeguard in Place]]*tblRisk[[#This Row],[Likelihood Score with Safeguard in Place]])</f>
        <v>8</v>
      </c>
      <c r="BB112" s="164">
        <f>tblRisk[[#This Row],[Risk Score With Safeguard in Place]]</f>
        <v>8</v>
      </c>
      <c r="BC112" s="168" t="str">
        <f>IF(tblRisk[[#This Row],[Risk Treatment Option]]&lt;&gt;"Accept",IF(_xlfn.XLOOKUP(tblRisk[[#This Row],[Specific Safeguard Recommendation]],ProTrak[Task],ProTrak[Status],"Not Found")="Completed","Pending Validation","Pending"),"")</f>
        <v/>
      </c>
      <c r="BD112" s="169" t="str">
        <f>_xlfn.XLOOKUP(tblRisk[[#This Row],[Risk Treatment Program]],tblRiskTreatmentPrograms[Risk Treatment Program],tblRiskTreatmentPrograms[Estimated End Date (MM/DD/YYYY)],"")</f>
        <v/>
      </c>
      <c r="BE112" s="170"/>
      <c r="BF112" s="171" t="str">
        <f>_xlfn.IFNA(IF(tblRisk[[#This Row],[Due Date]]&lt;=vWhatIfQuarter,"Closed",""),"")</f>
        <v/>
      </c>
      <c r="BG112" s="171">
        <f>IF(tblRisk[[#This Row],[Scenario Builder Status]]="Closed",tblRisk[[#This Row],[Risk Score With Safeguard in Place]],tblRisk[[#This Row],[Risk Score]])</f>
        <v>8</v>
      </c>
      <c r="BH112" s="192" t="str">
        <f>tblRisk[[#This Row],[Common Security Program]]&amp;tblRisk[[#This Row],[Common Security Control]]&amp;tblRisk[[#This Row],[Asset Designation ]]</f>
        <v>Monitoring &amp; LoggingOperationNetwork</v>
      </c>
      <c r="BI112" s="191"/>
      <c r="BJ112" s="191"/>
      <c r="BK112" s="191"/>
      <c r="BL112" s="191"/>
      <c r="BM112" s="191"/>
      <c r="BN112" s="191"/>
      <c r="BO112" s="191"/>
      <c r="BP112" s="191"/>
      <c r="BQ112" s="191"/>
    </row>
    <row r="113" spans="1:69" ht="141.75" x14ac:dyDescent="0.65">
      <c r="A113" s="160">
        <v>110</v>
      </c>
      <c r="B113" s="160" t="s">
        <v>899</v>
      </c>
      <c r="C113" s="19" t="s">
        <v>1040</v>
      </c>
      <c r="D113" s="28" t="s">
        <v>1231</v>
      </c>
      <c r="E113" s="207" t="s">
        <v>1098</v>
      </c>
      <c r="F113" s="194" t="s">
        <v>117</v>
      </c>
      <c r="G113" s="194" t="s">
        <v>117</v>
      </c>
      <c r="H113" s="194" t="s">
        <v>117</v>
      </c>
      <c r="I113" s="194" t="s">
        <v>1081</v>
      </c>
      <c r="J113" s="194" t="s">
        <v>1081</v>
      </c>
      <c r="K113" s="194" t="s">
        <v>1081</v>
      </c>
      <c r="L113" s="194" t="s">
        <v>1081</v>
      </c>
      <c r="M113" s="194" t="s">
        <v>1081</v>
      </c>
      <c r="N113" s="194">
        <f>COUNTIF(tblRisk[[#This Row],[Defends Against Malware]:[Defends Against Targeted Intrusions]],"Yes")</f>
        <v>5</v>
      </c>
      <c r="O113" s="160" t="s">
        <v>25</v>
      </c>
      <c r="P113" s="160" t="s">
        <v>86</v>
      </c>
      <c r="Q113" s="160" t="s">
        <v>33</v>
      </c>
      <c r="R113" s="160" t="s">
        <v>1086</v>
      </c>
      <c r="S113" s="160" t="s">
        <v>1087</v>
      </c>
      <c r="T113" s="160" t="s">
        <v>1448</v>
      </c>
      <c r="U113" s="160" t="s">
        <v>1449</v>
      </c>
      <c r="V113" s="19" t="s">
        <v>1675</v>
      </c>
      <c r="W113" s="160" t="s">
        <v>1709</v>
      </c>
      <c r="X113" s="160" t="s">
        <v>1832</v>
      </c>
      <c r="Y113" s="151">
        <f>IF(ISBLANK(tblRisk[[#This Row],[Threat Cluster]]),"",_xlfn.XLOOKUP(tblRisk[[#This Row],[Threat Cluster]],tblHIT[Threat Cluster],tblHIT[Quintile]))</f>
        <v>2</v>
      </c>
      <c r="Z113" s="152">
        <v>4</v>
      </c>
      <c r="AA113" s="153" t="str">
        <f>IF(OR(ISBLANK(tblRisk[[#This Row],[HIT Quintile]]),ISBLANK(tblRisk[[#This Row],[Control Maturity]])),"",_xlfn.XLOOKUP(tblRisk[[#This Row],[Control Maturity]] &amp; tblRisk[[#This Row],[HIT Quintile]],tblHITWDI[Lookup],tblHITWDI[Likelihood Description]))</f>
        <v>Foreseeable, not expected</v>
      </c>
      <c r="AB113" s="161">
        <f>IF(ISERROR(tblRisk[[#This Row],[Likelihood of Control Failure]]),"",VLOOKUP(tblRisk[[#This Row],[Likelihood of Control Failure]],tblLikelihood[],2,FALSE))</f>
        <v>2</v>
      </c>
      <c r="AC113" s="154">
        <v>2</v>
      </c>
      <c r="AD113" s="155">
        <v>2</v>
      </c>
      <c r="AE113" s="155">
        <v>2</v>
      </c>
      <c r="AF113" s="162">
        <f>IF(ISBLANK(tblRisk[[#This Row],[Impact to Mission]]),"",MAX(tblRisk[[#This Row],[Impact to Mission]:[Impact to Obligations]]))</f>
        <v>2</v>
      </c>
      <c r="AG113" s="163">
        <f>IF(ISERROR(tblRisk[[#This Row],[Impact Score]]*tblRisk[[#This Row],[Likelihood Score]]),"",tblRisk[[#This Row],[Likelihood Score]]*tblRisk[[#This Row],[Impact Score]])</f>
        <v>4</v>
      </c>
      <c r="AH113" s="163">
        <f>tblRisk[[#This Row],[Risk Score]]</f>
        <v>4</v>
      </c>
      <c r="AI113" s="164">
        <f t="shared" si="3"/>
        <v>9</v>
      </c>
      <c r="AJ113" s="164">
        <f>IF(tblRisk[[#This Row],[Safeguard Status]]="In Place",tblRisk[[#This Row],[Control Maturity after SG]],tblRisk[[#This Row],[Control Maturity]])</f>
        <v>4</v>
      </c>
      <c r="AK113" s="173" t="str">
        <f>IF(tblRisk[[#This Row],[Safeguard Status]]="In Place",tblRisk[[#This Row],[Safeguard Threat Cluster]],tblRisk[[#This Row],[Threat Cluster]])</f>
        <v>Personnel Error</v>
      </c>
      <c r="AL113" s="164">
        <f>IF(tblRisk[[#This Row],[Safeguard Status]]="In Place",tblRisk[[#This Row],[Risk Level With Safeguard in Place]],tblRisk[[#This Row],[Risk Level]])</f>
        <v>4</v>
      </c>
      <c r="AM113" s="165" t="s">
        <v>1887</v>
      </c>
      <c r="AN113" s="165" t="str">
        <f>IF(tblRisk[[#This Row],[Risk Treatment Option]]="Manage",_xlfn.IFNA(INDEX(tblRiskTreatmentPrograms[#Data],MATCH(tblRisk[[#This Row],[Common Security Program]]&amp;tblRisk[[#This Row],[Common Security Control]],tblRiskTreatmentPrograms[Lookup],0),MATCH($AN$3,tblRiskTreatmentPrograms[#Headers],0)),txtBadRTP),"")</f>
        <v/>
      </c>
      <c r="AO113" s="165" t="str">
        <f>IF(tblRisk[[#This Row],[Risk Treatment Program]]="","",INDEX(tblRiskTreatmentPrograms[#Data],MATCH(tblRisk[[#This Row],[Risk Treatment Program]],tblRiskTreatmentPrograms[Risk Treatment Program],0),MATCH($AO$3,tblRiskTreatmentPrograms[#Headers],0)))</f>
        <v/>
      </c>
      <c r="AP113" s="165"/>
      <c r="AQ11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3" s="19" t="str">
        <f>tblRisk[[#This Row],[Threat Cluster]]</f>
        <v>Personnel Error</v>
      </c>
      <c r="AS113" s="156">
        <f>IF(ISBLANK(tblRisk[[#This Row],[Safeguard Threat Cluster]]),"",_xlfn.XLOOKUP(tblRisk[[#This Row],[Safeguard Threat Cluster]],tblHIT[Threat Cluster],tblHIT[Quintile]))</f>
        <v>2</v>
      </c>
      <c r="AT113" s="157">
        <f>_xlfn.SWITCH(tblRisk[[#This Row],[Risk Treatment Option]],"Manage",tblRisk[[#This Row],[Control Maturity]]+1,tblRisk[[#This Row],[Control Maturity]])</f>
        <v>4</v>
      </c>
      <c r="AU11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3" s="166">
        <f>IF(ISERROR(tblRisk[[#This Row],[Likelihood of Control Failure after SG]]),"",VLOOKUP(tblRisk[[#This Row],[Likelihood of Control Failure after SG]],tblLikelihood[#Data],2,FALSE))</f>
        <v>2</v>
      </c>
      <c r="AW113" s="159">
        <f>tblRisk[[#This Row],[Impact to Mission]]</f>
        <v>2</v>
      </c>
      <c r="AX113" s="159">
        <f>tblRisk[[#This Row],[Impact to Objectives]]</f>
        <v>2</v>
      </c>
      <c r="AY113" s="159">
        <f>tblRisk[[#This Row],[Impact to Obligations]]</f>
        <v>2</v>
      </c>
      <c r="AZ113" s="166">
        <f>IF(ISBLANK(tblRisk[[#This Row],[Impact to Mission With Safeguard in Place]]),"",MAX(tblRisk[[#This Row],[Impact to Mission With Safeguard in Place]:[Impact to Obligations With Safeguard in Place]]))</f>
        <v>2</v>
      </c>
      <c r="BA113" s="167">
        <f>IF(ISERROR(tblRisk[[#This Row],[Impact Score with Safeguard in Place]]*tblRisk[[#This Row],[Likelihood Score with Safeguard in Place]]),"",tblRisk[[#This Row],[Impact Score with Safeguard in Place]]*tblRisk[[#This Row],[Likelihood Score with Safeguard in Place]])</f>
        <v>4</v>
      </c>
      <c r="BB113" s="164">
        <f>tblRisk[[#This Row],[Risk Score With Safeguard in Place]]</f>
        <v>4</v>
      </c>
      <c r="BC113" s="168" t="str">
        <f>IF(tblRisk[[#This Row],[Risk Treatment Option]]&lt;&gt;"Accept",IF(_xlfn.XLOOKUP(tblRisk[[#This Row],[Specific Safeguard Recommendation]],ProTrak[Task],ProTrak[Status],"Not Found")="Completed","Pending Validation","Pending"),"")</f>
        <v/>
      </c>
      <c r="BD113" s="169" t="str">
        <f>_xlfn.XLOOKUP(tblRisk[[#This Row],[Risk Treatment Program]],tblRiskTreatmentPrograms[Risk Treatment Program],tblRiskTreatmentPrograms[Estimated End Date (MM/DD/YYYY)],"")</f>
        <v/>
      </c>
      <c r="BE113" s="170"/>
      <c r="BF113" s="171" t="str">
        <f>_xlfn.IFNA(IF(tblRisk[[#This Row],[Due Date]]&lt;=vWhatIfQuarter,"Closed",""),"")</f>
        <v/>
      </c>
      <c r="BG113" s="171">
        <f>IF(tblRisk[[#This Row],[Scenario Builder Status]]="Closed",tblRisk[[#This Row],[Risk Score With Safeguard in Place]],tblRisk[[#This Row],[Risk Score]])</f>
        <v>4</v>
      </c>
      <c r="BH113" s="192" t="str">
        <f>tblRisk[[#This Row],[Common Security Program]]&amp;tblRisk[[#This Row],[Common Security Control]]&amp;tblRisk[[#This Row],[Asset Designation ]]</f>
        <v>Security AwarenessGovernanceUsers</v>
      </c>
      <c r="BI113" s="191"/>
      <c r="BJ113" s="191"/>
      <c r="BK113" s="191"/>
      <c r="BL113" s="191"/>
      <c r="BM113" s="191" t="s">
        <v>117</v>
      </c>
      <c r="BN113" s="191"/>
      <c r="BO113" s="191" t="s">
        <v>117</v>
      </c>
      <c r="BP113" s="191"/>
      <c r="BQ113" s="191" t="s">
        <v>117</v>
      </c>
    </row>
    <row r="114" spans="1:69" ht="94.5" x14ac:dyDescent="0.65">
      <c r="A114" s="160">
        <v>111</v>
      </c>
      <c r="B114" s="160" t="s">
        <v>899</v>
      </c>
      <c r="C114" s="19" t="s">
        <v>985</v>
      </c>
      <c r="D114" s="28" t="s">
        <v>1232</v>
      </c>
      <c r="E114" s="207" t="s">
        <v>1098</v>
      </c>
      <c r="F114" s="194" t="s">
        <v>117</v>
      </c>
      <c r="G114" s="194" t="s">
        <v>117</v>
      </c>
      <c r="H114" s="194" t="s">
        <v>117</v>
      </c>
      <c r="I114" s="194" t="s">
        <v>1081</v>
      </c>
      <c r="J114" s="194" t="s">
        <v>1081</v>
      </c>
      <c r="K114" s="194" t="s">
        <v>1081</v>
      </c>
      <c r="L114" s="194" t="s">
        <v>1081</v>
      </c>
      <c r="M114" s="194" t="s">
        <v>1081</v>
      </c>
      <c r="N114" s="194">
        <f>COUNTIF(tblRisk[[#This Row],[Defends Against Malware]:[Defends Against Targeted Intrusions]],"Yes")</f>
        <v>5</v>
      </c>
      <c r="O114" s="160" t="s">
        <v>25</v>
      </c>
      <c r="P114" s="160" t="s">
        <v>88</v>
      </c>
      <c r="Q114" s="160" t="s">
        <v>1108</v>
      </c>
      <c r="R114" s="160" t="s">
        <v>1086</v>
      </c>
      <c r="S114" s="160" t="s">
        <v>1452</v>
      </c>
      <c r="T114" s="160" t="s">
        <v>1450</v>
      </c>
      <c r="U114" s="160" t="s">
        <v>1451</v>
      </c>
      <c r="V114" s="19" t="s">
        <v>1678</v>
      </c>
      <c r="W114" s="160" t="s">
        <v>1709</v>
      </c>
      <c r="X114" s="160" t="s">
        <v>1833</v>
      </c>
      <c r="Y114" s="151">
        <f>IF(ISBLANK(tblRisk[[#This Row],[Threat Cluster]]),"",_xlfn.XLOOKUP(tblRisk[[#This Row],[Threat Cluster]],tblHIT[Threat Cluster],tblHIT[Quintile]))</f>
        <v>1</v>
      </c>
      <c r="Z114" s="152">
        <v>4</v>
      </c>
      <c r="AA114" s="153" t="str">
        <f>IF(OR(ISBLANK(tblRisk[[#This Row],[HIT Quintile]]),ISBLANK(tblRisk[[#This Row],[Control Maturity]])),"",_xlfn.XLOOKUP(tblRisk[[#This Row],[Control Maturity]] &amp; tblRisk[[#This Row],[HIT Quintile]],tblHITWDI[Lookup],tblHITWDI[Likelihood Description]))</f>
        <v>Not Foreseeable</v>
      </c>
      <c r="AB114" s="161">
        <f>IF(ISERROR(tblRisk[[#This Row],[Likelihood of Control Failure]]),"",VLOOKUP(tblRisk[[#This Row],[Likelihood of Control Failure]],tblLikelihood[],2,FALSE))</f>
        <v>1</v>
      </c>
      <c r="AC114" s="154">
        <v>2</v>
      </c>
      <c r="AD114" s="155">
        <v>2</v>
      </c>
      <c r="AE114" s="155">
        <v>2</v>
      </c>
      <c r="AF114" s="162">
        <f>IF(ISBLANK(tblRisk[[#This Row],[Impact to Mission]]),"",MAX(tblRisk[[#This Row],[Impact to Mission]:[Impact to Obligations]]))</f>
        <v>2</v>
      </c>
      <c r="AG114" s="163">
        <f>IF(ISERROR(tblRisk[[#This Row],[Impact Score]]*tblRisk[[#This Row],[Likelihood Score]]),"",tblRisk[[#This Row],[Likelihood Score]]*tblRisk[[#This Row],[Impact Score]])</f>
        <v>2</v>
      </c>
      <c r="AH114" s="163">
        <f>tblRisk[[#This Row],[Risk Score]]</f>
        <v>2</v>
      </c>
      <c r="AI114" s="164">
        <f t="shared" si="3"/>
        <v>9</v>
      </c>
      <c r="AJ114" s="164">
        <f>IF(tblRisk[[#This Row],[Safeguard Status]]="In Place",tblRisk[[#This Row],[Control Maturity after SG]],tblRisk[[#This Row],[Control Maturity]])</f>
        <v>4</v>
      </c>
      <c r="AK114" s="173" t="str">
        <f>IF(tblRisk[[#This Row],[Safeguard Status]]="In Place",tblRisk[[#This Row],[Safeguard Threat Cluster]],tblRisk[[#This Row],[Threat Cluster]])</f>
        <v>Social engineering</v>
      </c>
      <c r="AL114" s="164">
        <f>IF(tblRisk[[#This Row],[Safeguard Status]]="In Place",tblRisk[[#This Row],[Risk Level With Safeguard in Place]],tblRisk[[#This Row],[Risk Level]])</f>
        <v>2</v>
      </c>
      <c r="AM114" s="165" t="s">
        <v>1887</v>
      </c>
      <c r="AN114" s="165" t="str">
        <f>IF(tblRisk[[#This Row],[Risk Treatment Option]]="Manage",_xlfn.IFNA(INDEX(tblRiskTreatmentPrograms[#Data],MATCH(tblRisk[[#This Row],[Common Security Program]]&amp;tblRisk[[#This Row],[Common Security Control]],tblRiskTreatmentPrograms[Lookup],0),MATCH($AN$3,tblRiskTreatmentPrograms[#Headers],0)),txtBadRTP),"")</f>
        <v/>
      </c>
      <c r="AO114" s="165" t="str">
        <f>IF(tblRisk[[#This Row],[Risk Treatment Program]]="","",INDEX(tblRiskTreatmentPrograms[#Data],MATCH(tblRisk[[#This Row],[Risk Treatment Program]],tblRiskTreatmentPrograms[Risk Treatment Program],0),MATCH($AO$3,tblRiskTreatmentPrograms[#Headers],0)))</f>
        <v/>
      </c>
      <c r="AP114" s="165"/>
      <c r="AQ11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4" s="19" t="str">
        <f>tblRisk[[#This Row],[Threat Cluster]]</f>
        <v>Social engineering</v>
      </c>
      <c r="AS114" s="156">
        <f>IF(ISBLANK(tblRisk[[#This Row],[Safeguard Threat Cluster]]),"",_xlfn.XLOOKUP(tblRisk[[#This Row],[Safeguard Threat Cluster]],tblHIT[Threat Cluster],tblHIT[Quintile]))</f>
        <v>1</v>
      </c>
      <c r="AT114" s="157">
        <f>_xlfn.SWITCH(tblRisk[[#This Row],[Risk Treatment Option]],"Manage",tblRisk[[#This Row],[Control Maturity]]+1,tblRisk[[#This Row],[Control Maturity]])</f>
        <v>4</v>
      </c>
      <c r="AU114" s="158" t="str">
        <f>IF(OR(ISBLANK(tblRisk[[#This Row],[Safeguard HIT Quintile]]),ISBLANK(tblRisk[[#This Row],[Control Maturity after SG]])),"",_xlfn.XLOOKUP(tblRisk[[#This Row],[Control Maturity after SG]] &amp;tblRisk[[#This Row],[Safeguard HIT Quintile]],tblHITWDI[Lookup],tblHITWDI[Likelihood Description]))</f>
        <v>Not Foreseeable</v>
      </c>
      <c r="AV114" s="166">
        <f>IF(ISERROR(tblRisk[[#This Row],[Likelihood of Control Failure after SG]]),"",VLOOKUP(tblRisk[[#This Row],[Likelihood of Control Failure after SG]],tblLikelihood[#Data],2,FALSE))</f>
        <v>1</v>
      </c>
      <c r="AW114" s="159">
        <f>tblRisk[[#This Row],[Impact to Mission]]</f>
        <v>2</v>
      </c>
      <c r="AX114" s="159">
        <f>tblRisk[[#This Row],[Impact to Objectives]]</f>
        <v>2</v>
      </c>
      <c r="AY114" s="159">
        <f>tblRisk[[#This Row],[Impact to Obligations]]</f>
        <v>2</v>
      </c>
      <c r="AZ114" s="166">
        <f>IF(ISBLANK(tblRisk[[#This Row],[Impact to Mission With Safeguard in Place]]),"",MAX(tblRisk[[#This Row],[Impact to Mission With Safeguard in Place]:[Impact to Obligations With Safeguard in Place]]))</f>
        <v>2</v>
      </c>
      <c r="BA114" s="167">
        <f>IF(ISERROR(tblRisk[[#This Row],[Impact Score with Safeguard in Place]]*tblRisk[[#This Row],[Likelihood Score with Safeguard in Place]]),"",tblRisk[[#This Row],[Impact Score with Safeguard in Place]]*tblRisk[[#This Row],[Likelihood Score with Safeguard in Place]])</f>
        <v>2</v>
      </c>
      <c r="BB114" s="164">
        <f>tblRisk[[#This Row],[Risk Score With Safeguard in Place]]</f>
        <v>2</v>
      </c>
      <c r="BC114" s="168" t="str">
        <f>IF(tblRisk[[#This Row],[Risk Treatment Option]]&lt;&gt;"Accept",IF(_xlfn.XLOOKUP(tblRisk[[#This Row],[Specific Safeguard Recommendation]],ProTrak[Task],ProTrak[Status],"Not Found")="Completed","Pending Validation","Pending"),"")</f>
        <v/>
      </c>
      <c r="BD114" s="169" t="str">
        <f>_xlfn.XLOOKUP(tblRisk[[#This Row],[Risk Treatment Program]],tblRiskTreatmentPrograms[Risk Treatment Program],tblRiskTreatmentPrograms[Estimated End Date (MM/DD/YYYY)],"")</f>
        <v/>
      </c>
      <c r="BE114" s="170"/>
      <c r="BF114" s="171" t="str">
        <f>_xlfn.IFNA(IF(tblRisk[[#This Row],[Due Date]]&lt;=vWhatIfQuarter,"Closed",""),"")</f>
        <v/>
      </c>
      <c r="BG114" s="171">
        <f>IF(tblRisk[[#This Row],[Scenario Builder Status]]="Closed",tblRisk[[#This Row],[Risk Score With Safeguard in Place]],tblRisk[[#This Row],[Risk Score]])</f>
        <v>2</v>
      </c>
      <c r="BH114" s="192" t="str">
        <f>tblRisk[[#This Row],[Common Security Program]]&amp;tblRisk[[#This Row],[Common Security Control]]&amp;tblRisk[[#This Row],[Asset Designation ]]</f>
        <v>Security AwarenessOperationUsers</v>
      </c>
      <c r="BI114" s="191"/>
      <c r="BJ114" s="191"/>
      <c r="BK114" s="191"/>
      <c r="BL114" s="191"/>
      <c r="BM114" s="191" t="s">
        <v>117</v>
      </c>
      <c r="BN114" s="191"/>
      <c r="BO114" s="191" t="s">
        <v>117</v>
      </c>
      <c r="BP114" s="191"/>
      <c r="BQ114" s="191" t="s">
        <v>117</v>
      </c>
    </row>
    <row r="115" spans="1:69" ht="94.5" x14ac:dyDescent="0.65">
      <c r="A115" s="160">
        <v>112</v>
      </c>
      <c r="B115" s="160" t="s">
        <v>899</v>
      </c>
      <c r="C115" s="19" t="s">
        <v>986</v>
      </c>
      <c r="D115" s="28" t="s">
        <v>1233</v>
      </c>
      <c r="E115" s="207" t="s">
        <v>1098</v>
      </c>
      <c r="F115" s="194" t="s">
        <v>117</v>
      </c>
      <c r="G115" s="194" t="s">
        <v>117</v>
      </c>
      <c r="H115" s="194" t="s">
        <v>117</v>
      </c>
      <c r="I115" s="194" t="s">
        <v>1081</v>
      </c>
      <c r="J115" s="194" t="s">
        <v>1081</v>
      </c>
      <c r="K115" s="194" t="s">
        <v>1081</v>
      </c>
      <c r="L115" s="194" t="s">
        <v>1081</v>
      </c>
      <c r="M115" s="194" t="s">
        <v>1081</v>
      </c>
      <c r="N115" s="194">
        <f>COUNTIF(tblRisk[[#This Row],[Defends Against Malware]:[Defends Against Targeted Intrusions]],"Yes")</f>
        <v>5</v>
      </c>
      <c r="O115" s="160" t="s">
        <v>25</v>
      </c>
      <c r="P115" s="160" t="s">
        <v>88</v>
      </c>
      <c r="Q115" s="160" t="s">
        <v>33</v>
      </c>
      <c r="R115" s="160" t="s">
        <v>1086</v>
      </c>
      <c r="S115" s="160" t="s">
        <v>1452</v>
      </c>
      <c r="T115" s="160" t="s">
        <v>1450</v>
      </c>
      <c r="U115" s="160" t="s">
        <v>1451</v>
      </c>
      <c r="V115" s="160" t="s">
        <v>1615</v>
      </c>
      <c r="W115" s="160" t="s">
        <v>1709</v>
      </c>
      <c r="X115" s="160" t="s">
        <v>1834</v>
      </c>
      <c r="Y115" s="151">
        <f>IF(ISBLANK(tblRisk[[#This Row],[Threat Cluster]]),"",_xlfn.XLOOKUP(tblRisk[[#This Row],[Threat Cluster]],tblHIT[Threat Cluster],tblHIT[Quintile]))</f>
        <v>2</v>
      </c>
      <c r="Z115" s="152">
        <v>4</v>
      </c>
      <c r="AA115" s="153" t="str">
        <f>IF(OR(ISBLANK(tblRisk[[#This Row],[HIT Quintile]]),ISBLANK(tblRisk[[#This Row],[Control Maturity]])),"",_xlfn.XLOOKUP(tblRisk[[#This Row],[Control Maturity]] &amp; tblRisk[[#This Row],[HIT Quintile]],tblHITWDI[Lookup],tblHITWDI[Likelihood Description]))</f>
        <v>Foreseeable, not expected</v>
      </c>
      <c r="AB115" s="161">
        <f>IF(ISERROR(tblRisk[[#This Row],[Likelihood of Control Failure]]),"",VLOOKUP(tblRisk[[#This Row],[Likelihood of Control Failure]],tblLikelihood[],2,FALSE))</f>
        <v>2</v>
      </c>
      <c r="AC115" s="154">
        <v>2</v>
      </c>
      <c r="AD115" s="155">
        <v>2</v>
      </c>
      <c r="AE115" s="155">
        <v>2</v>
      </c>
      <c r="AF115" s="162">
        <f>IF(ISBLANK(tblRisk[[#This Row],[Impact to Mission]]),"",MAX(tblRisk[[#This Row],[Impact to Mission]:[Impact to Obligations]]))</f>
        <v>2</v>
      </c>
      <c r="AG115" s="163">
        <f>IF(ISERROR(tblRisk[[#This Row],[Impact Score]]*tblRisk[[#This Row],[Likelihood Score]]),"",tblRisk[[#This Row],[Likelihood Score]]*tblRisk[[#This Row],[Impact Score]])</f>
        <v>4</v>
      </c>
      <c r="AH115" s="163">
        <f>tblRisk[[#This Row],[Risk Score]]</f>
        <v>4</v>
      </c>
      <c r="AI115" s="164">
        <f t="shared" si="3"/>
        <v>9</v>
      </c>
      <c r="AJ115" s="164">
        <f>IF(tblRisk[[#This Row],[Safeguard Status]]="In Place",tblRisk[[#This Row],[Control Maturity after SG]],tblRisk[[#This Row],[Control Maturity]])</f>
        <v>4</v>
      </c>
      <c r="AK115" s="173" t="str">
        <f>IF(tblRisk[[#This Row],[Safeguard Status]]="In Place",tblRisk[[#This Row],[Safeguard Threat Cluster]],tblRisk[[#This Row],[Threat Cluster]])</f>
        <v>Personnel Error</v>
      </c>
      <c r="AL115" s="164">
        <f>IF(tblRisk[[#This Row],[Safeguard Status]]="In Place",tblRisk[[#This Row],[Risk Level With Safeguard in Place]],tblRisk[[#This Row],[Risk Level]])</f>
        <v>4</v>
      </c>
      <c r="AM115" s="165" t="s">
        <v>1887</v>
      </c>
      <c r="AN115" s="165" t="str">
        <f>IF(tblRisk[[#This Row],[Risk Treatment Option]]="Manage",_xlfn.IFNA(INDEX(tblRiskTreatmentPrograms[#Data],MATCH(tblRisk[[#This Row],[Common Security Program]]&amp;tblRisk[[#This Row],[Common Security Control]],tblRiskTreatmentPrograms[Lookup],0),MATCH($AN$3,tblRiskTreatmentPrograms[#Headers],0)),txtBadRTP),"")</f>
        <v/>
      </c>
      <c r="AO115" s="165" t="str">
        <f>IF(tblRisk[[#This Row],[Risk Treatment Program]]="","",INDEX(tblRiskTreatmentPrograms[#Data],MATCH(tblRisk[[#This Row],[Risk Treatment Program]],tblRiskTreatmentPrograms[Risk Treatment Program],0),MATCH($AO$3,tblRiskTreatmentPrograms[#Headers],0)))</f>
        <v/>
      </c>
      <c r="AP115" s="165"/>
      <c r="AQ11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5" s="19" t="str">
        <f>tblRisk[[#This Row],[Threat Cluster]]</f>
        <v>Personnel Error</v>
      </c>
      <c r="AS115" s="156">
        <f>IF(ISBLANK(tblRisk[[#This Row],[Safeguard Threat Cluster]]),"",_xlfn.XLOOKUP(tblRisk[[#This Row],[Safeguard Threat Cluster]],tblHIT[Threat Cluster],tblHIT[Quintile]))</f>
        <v>2</v>
      </c>
      <c r="AT115" s="157">
        <f>_xlfn.SWITCH(tblRisk[[#This Row],[Risk Treatment Option]],"Manage",tblRisk[[#This Row],[Control Maturity]]+1,tblRisk[[#This Row],[Control Maturity]])</f>
        <v>4</v>
      </c>
      <c r="AU11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5" s="166">
        <f>IF(ISERROR(tblRisk[[#This Row],[Likelihood of Control Failure after SG]]),"",VLOOKUP(tblRisk[[#This Row],[Likelihood of Control Failure after SG]],tblLikelihood[#Data],2,FALSE))</f>
        <v>2</v>
      </c>
      <c r="AW115" s="159">
        <f>tblRisk[[#This Row],[Impact to Mission]]</f>
        <v>2</v>
      </c>
      <c r="AX115" s="159">
        <f>tblRisk[[#This Row],[Impact to Objectives]]</f>
        <v>2</v>
      </c>
      <c r="AY115" s="159">
        <f>tblRisk[[#This Row],[Impact to Obligations]]</f>
        <v>2</v>
      </c>
      <c r="AZ115" s="166">
        <f>IF(ISBLANK(tblRisk[[#This Row],[Impact to Mission With Safeguard in Place]]),"",MAX(tblRisk[[#This Row],[Impact to Mission With Safeguard in Place]:[Impact to Obligations With Safeguard in Place]]))</f>
        <v>2</v>
      </c>
      <c r="BA115" s="167">
        <f>IF(ISERROR(tblRisk[[#This Row],[Impact Score with Safeguard in Place]]*tblRisk[[#This Row],[Likelihood Score with Safeguard in Place]]),"",tblRisk[[#This Row],[Impact Score with Safeguard in Place]]*tblRisk[[#This Row],[Likelihood Score with Safeguard in Place]])</f>
        <v>4</v>
      </c>
      <c r="BB115" s="164">
        <f>tblRisk[[#This Row],[Risk Score With Safeguard in Place]]</f>
        <v>4</v>
      </c>
      <c r="BC115" s="168" t="str">
        <f>IF(tblRisk[[#This Row],[Risk Treatment Option]]&lt;&gt;"Accept",IF(_xlfn.XLOOKUP(tblRisk[[#This Row],[Specific Safeguard Recommendation]],ProTrak[Task],ProTrak[Status],"Not Found")="Completed","Pending Validation","Pending"),"")</f>
        <v/>
      </c>
      <c r="BD115" s="169" t="str">
        <f>_xlfn.XLOOKUP(tblRisk[[#This Row],[Risk Treatment Program]],tblRiskTreatmentPrograms[Risk Treatment Program],tblRiskTreatmentPrograms[Estimated End Date (MM/DD/YYYY)],"")</f>
        <v/>
      </c>
      <c r="BE115" s="170"/>
      <c r="BF115" s="171" t="str">
        <f>_xlfn.IFNA(IF(tblRisk[[#This Row],[Due Date]]&lt;=vWhatIfQuarter,"Closed",""),"")</f>
        <v/>
      </c>
      <c r="BG115" s="171">
        <f>IF(tblRisk[[#This Row],[Scenario Builder Status]]="Closed",tblRisk[[#This Row],[Risk Score With Safeguard in Place]],tblRisk[[#This Row],[Risk Score]])</f>
        <v>4</v>
      </c>
      <c r="BH115" s="192" t="str">
        <f>tblRisk[[#This Row],[Common Security Program]]&amp;tblRisk[[#This Row],[Common Security Control]]&amp;tblRisk[[#This Row],[Asset Designation ]]</f>
        <v>Security AwarenessOperationUsers</v>
      </c>
      <c r="BI115" s="191"/>
      <c r="BJ115" s="191"/>
      <c r="BK115" s="191"/>
      <c r="BL115" s="191"/>
      <c r="BM115" s="191" t="s">
        <v>117</v>
      </c>
      <c r="BN115" s="191"/>
      <c r="BO115" s="191" t="s">
        <v>117</v>
      </c>
      <c r="BP115" s="191"/>
      <c r="BQ115" s="191" t="s">
        <v>117</v>
      </c>
    </row>
    <row r="116" spans="1:69" ht="94.5" x14ac:dyDescent="0.65">
      <c r="A116" s="160">
        <v>113</v>
      </c>
      <c r="B116" s="160" t="s">
        <v>899</v>
      </c>
      <c r="C116" s="19" t="s">
        <v>987</v>
      </c>
      <c r="D116" s="28" t="s">
        <v>1234</v>
      </c>
      <c r="E116" s="207" t="s">
        <v>1098</v>
      </c>
      <c r="F116" s="194" t="s">
        <v>117</v>
      </c>
      <c r="G116" s="194" t="s">
        <v>117</v>
      </c>
      <c r="H116" s="194" t="s">
        <v>117</v>
      </c>
      <c r="I116" s="194" t="s">
        <v>1081</v>
      </c>
      <c r="J116" s="194" t="s">
        <v>1081</v>
      </c>
      <c r="K116" s="194" t="s">
        <v>1081</v>
      </c>
      <c r="L116" s="194" t="s">
        <v>1081</v>
      </c>
      <c r="M116" s="194" t="s">
        <v>1081</v>
      </c>
      <c r="N116" s="194">
        <f>COUNTIF(tblRisk[[#This Row],[Defends Against Malware]:[Defends Against Targeted Intrusions]],"Yes")</f>
        <v>5</v>
      </c>
      <c r="O116" s="160" t="s">
        <v>25</v>
      </c>
      <c r="P116" s="160" t="s">
        <v>88</v>
      </c>
      <c r="Q116" s="160" t="s">
        <v>33</v>
      </c>
      <c r="R116" s="160" t="s">
        <v>1086</v>
      </c>
      <c r="S116" s="160" t="s">
        <v>1452</v>
      </c>
      <c r="T116" s="160" t="s">
        <v>1450</v>
      </c>
      <c r="U116" s="160" t="s">
        <v>1451</v>
      </c>
      <c r="V116" s="160" t="s">
        <v>1616</v>
      </c>
      <c r="W116" s="160" t="s">
        <v>1709</v>
      </c>
      <c r="X116" s="160" t="s">
        <v>1835</v>
      </c>
      <c r="Y116" s="151">
        <f>IF(ISBLANK(tblRisk[[#This Row],[Threat Cluster]]),"",_xlfn.XLOOKUP(tblRisk[[#This Row],[Threat Cluster]],tblHIT[Threat Cluster],tblHIT[Quintile]))</f>
        <v>2</v>
      </c>
      <c r="Z116" s="152">
        <v>4</v>
      </c>
      <c r="AA116" s="153" t="str">
        <f>IF(OR(ISBLANK(tblRisk[[#This Row],[HIT Quintile]]),ISBLANK(tblRisk[[#This Row],[Control Maturity]])),"",_xlfn.XLOOKUP(tblRisk[[#This Row],[Control Maturity]] &amp; tblRisk[[#This Row],[HIT Quintile]],tblHITWDI[Lookup],tblHITWDI[Likelihood Description]))</f>
        <v>Foreseeable, not expected</v>
      </c>
      <c r="AB116" s="161">
        <f>IF(ISERROR(tblRisk[[#This Row],[Likelihood of Control Failure]]),"",VLOOKUP(tblRisk[[#This Row],[Likelihood of Control Failure]],tblLikelihood[],2,FALSE))</f>
        <v>2</v>
      </c>
      <c r="AC116" s="154">
        <v>2</v>
      </c>
      <c r="AD116" s="155">
        <v>2</v>
      </c>
      <c r="AE116" s="155">
        <v>2</v>
      </c>
      <c r="AF116" s="162">
        <f>IF(ISBLANK(tblRisk[[#This Row],[Impact to Mission]]),"",MAX(tblRisk[[#This Row],[Impact to Mission]:[Impact to Obligations]]))</f>
        <v>2</v>
      </c>
      <c r="AG116" s="163">
        <f>IF(ISERROR(tblRisk[[#This Row],[Impact Score]]*tblRisk[[#This Row],[Likelihood Score]]),"",tblRisk[[#This Row],[Likelihood Score]]*tblRisk[[#This Row],[Impact Score]])</f>
        <v>4</v>
      </c>
      <c r="AH116" s="163">
        <f>tblRisk[[#This Row],[Risk Score]]</f>
        <v>4</v>
      </c>
      <c r="AI116" s="164">
        <f t="shared" si="3"/>
        <v>9</v>
      </c>
      <c r="AJ116" s="164">
        <f>IF(tblRisk[[#This Row],[Safeguard Status]]="In Place",tblRisk[[#This Row],[Control Maturity after SG]],tblRisk[[#This Row],[Control Maturity]])</f>
        <v>4</v>
      </c>
      <c r="AK116" s="173" t="str">
        <f>IF(tblRisk[[#This Row],[Safeguard Status]]="In Place",tblRisk[[#This Row],[Safeguard Threat Cluster]],tblRisk[[#This Row],[Threat Cluster]])</f>
        <v>Personnel Error</v>
      </c>
      <c r="AL116" s="164">
        <f>IF(tblRisk[[#This Row],[Safeguard Status]]="In Place",tblRisk[[#This Row],[Risk Level With Safeguard in Place]],tblRisk[[#This Row],[Risk Level]])</f>
        <v>4</v>
      </c>
      <c r="AM116" s="165" t="s">
        <v>1887</v>
      </c>
      <c r="AN116" s="165" t="str">
        <f>IF(tblRisk[[#This Row],[Risk Treatment Option]]="Manage",_xlfn.IFNA(INDEX(tblRiskTreatmentPrograms[#Data],MATCH(tblRisk[[#This Row],[Common Security Program]]&amp;tblRisk[[#This Row],[Common Security Control]],tblRiskTreatmentPrograms[Lookup],0),MATCH($AN$3,tblRiskTreatmentPrograms[#Headers],0)),txtBadRTP),"")</f>
        <v/>
      </c>
      <c r="AO116" s="165" t="str">
        <f>IF(tblRisk[[#This Row],[Risk Treatment Program]]="","",INDEX(tblRiskTreatmentPrograms[#Data],MATCH(tblRisk[[#This Row],[Risk Treatment Program]],tblRiskTreatmentPrograms[Risk Treatment Program],0),MATCH($AO$3,tblRiskTreatmentPrograms[#Headers],0)))</f>
        <v/>
      </c>
      <c r="AP116" s="165"/>
      <c r="AQ11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6" s="19" t="str">
        <f>tblRisk[[#This Row],[Threat Cluster]]</f>
        <v>Personnel Error</v>
      </c>
      <c r="AS116" s="156">
        <f>IF(ISBLANK(tblRisk[[#This Row],[Safeguard Threat Cluster]]),"",_xlfn.XLOOKUP(tblRisk[[#This Row],[Safeguard Threat Cluster]],tblHIT[Threat Cluster],tblHIT[Quintile]))</f>
        <v>2</v>
      </c>
      <c r="AT116" s="157">
        <f>_xlfn.SWITCH(tblRisk[[#This Row],[Risk Treatment Option]],"Manage",tblRisk[[#This Row],[Control Maturity]]+1,tblRisk[[#This Row],[Control Maturity]])</f>
        <v>4</v>
      </c>
      <c r="AU11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6" s="166">
        <f>IF(ISERROR(tblRisk[[#This Row],[Likelihood of Control Failure after SG]]),"",VLOOKUP(tblRisk[[#This Row],[Likelihood of Control Failure after SG]],tblLikelihood[#Data],2,FALSE))</f>
        <v>2</v>
      </c>
      <c r="AW116" s="159">
        <f>tblRisk[[#This Row],[Impact to Mission]]</f>
        <v>2</v>
      </c>
      <c r="AX116" s="159">
        <f>tblRisk[[#This Row],[Impact to Objectives]]</f>
        <v>2</v>
      </c>
      <c r="AY116" s="159">
        <f>tblRisk[[#This Row],[Impact to Obligations]]</f>
        <v>2</v>
      </c>
      <c r="AZ116" s="166">
        <f>IF(ISBLANK(tblRisk[[#This Row],[Impact to Mission With Safeguard in Place]]),"",MAX(tblRisk[[#This Row],[Impact to Mission With Safeguard in Place]:[Impact to Obligations With Safeguard in Place]]))</f>
        <v>2</v>
      </c>
      <c r="BA116" s="167">
        <f>IF(ISERROR(tblRisk[[#This Row],[Impact Score with Safeguard in Place]]*tblRisk[[#This Row],[Likelihood Score with Safeguard in Place]]),"",tblRisk[[#This Row],[Impact Score with Safeguard in Place]]*tblRisk[[#This Row],[Likelihood Score with Safeguard in Place]])</f>
        <v>4</v>
      </c>
      <c r="BB116" s="164">
        <f>tblRisk[[#This Row],[Risk Score With Safeguard in Place]]</f>
        <v>4</v>
      </c>
      <c r="BC116" s="168" t="str">
        <f>IF(tblRisk[[#This Row],[Risk Treatment Option]]&lt;&gt;"Accept",IF(_xlfn.XLOOKUP(tblRisk[[#This Row],[Specific Safeguard Recommendation]],ProTrak[Task],ProTrak[Status],"Not Found")="Completed","Pending Validation","Pending"),"")</f>
        <v/>
      </c>
      <c r="BD116" s="169" t="str">
        <f>_xlfn.XLOOKUP(tblRisk[[#This Row],[Risk Treatment Program]],tblRiskTreatmentPrograms[Risk Treatment Program],tblRiskTreatmentPrograms[Estimated End Date (MM/DD/YYYY)],"")</f>
        <v/>
      </c>
      <c r="BE116" s="170"/>
      <c r="BF116" s="171" t="str">
        <f>_xlfn.IFNA(IF(tblRisk[[#This Row],[Due Date]]&lt;=vWhatIfQuarter,"Closed",""),"")</f>
        <v/>
      </c>
      <c r="BG116" s="171">
        <f>IF(tblRisk[[#This Row],[Scenario Builder Status]]="Closed",tblRisk[[#This Row],[Risk Score With Safeguard in Place]],tblRisk[[#This Row],[Risk Score]])</f>
        <v>4</v>
      </c>
      <c r="BH116" s="192" t="str">
        <f>tblRisk[[#This Row],[Common Security Program]]&amp;tblRisk[[#This Row],[Common Security Control]]&amp;tblRisk[[#This Row],[Asset Designation ]]</f>
        <v>Security AwarenessOperationUsers</v>
      </c>
      <c r="BI116" s="191"/>
      <c r="BJ116" s="191"/>
      <c r="BK116" s="191"/>
      <c r="BL116" s="191"/>
      <c r="BM116" s="191" t="s">
        <v>117</v>
      </c>
      <c r="BN116" s="191"/>
      <c r="BO116" s="191" t="s">
        <v>117</v>
      </c>
      <c r="BP116" s="191"/>
      <c r="BQ116" s="191" t="s">
        <v>117</v>
      </c>
    </row>
    <row r="117" spans="1:69" ht="94.5" x14ac:dyDescent="0.65">
      <c r="A117" s="160">
        <v>114</v>
      </c>
      <c r="B117" s="160" t="s">
        <v>899</v>
      </c>
      <c r="C117" s="19" t="s">
        <v>988</v>
      </c>
      <c r="D117" s="28" t="s">
        <v>1235</v>
      </c>
      <c r="E117" s="207" t="s">
        <v>1092</v>
      </c>
      <c r="F117" s="194" t="s">
        <v>117</v>
      </c>
      <c r="G117" s="194" t="s">
        <v>117</v>
      </c>
      <c r="H117" s="194" t="s">
        <v>117</v>
      </c>
      <c r="I117" s="194" t="s">
        <v>1081</v>
      </c>
      <c r="J117" s="194" t="s">
        <v>1080</v>
      </c>
      <c r="K117" s="194" t="s">
        <v>1080</v>
      </c>
      <c r="L117" s="194" t="s">
        <v>1081</v>
      </c>
      <c r="M117" s="194" t="s">
        <v>1080</v>
      </c>
      <c r="N117" s="194">
        <f>COUNTIF(tblRisk[[#This Row],[Defends Against Malware]:[Defends Against Targeted Intrusions]],"Yes")</f>
        <v>2</v>
      </c>
      <c r="O117" s="160" t="s">
        <v>25</v>
      </c>
      <c r="P117" s="160" t="s">
        <v>88</v>
      </c>
      <c r="Q117" s="160" t="s">
        <v>33</v>
      </c>
      <c r="R117" s="160" t="s">
        <v>1086</v>
      </c>
      <c r="S117" s="160" t="s">
        <v>1452</v>
      </c>
      <c r="T117" s="160" t="s">
        <v>1450</v>
      </c>
      <c r="U117" s="160" t="s">
        <v>1451</v>
      </c>
      <c r="V117" s="160" t="s">
        <v>1617</v>
      </c>
      <c r="W117" s="160" t="s">
        <v>1709</v>
      </c>
      <c r="X117" s="160" t="s">
        <v>1836</v>
      </c>
      <c r="Y117" s="151">
        <f>IF(ISBLANK(tblRisk[[#This Row],[Threat Cluster]]),"",_xlfn.XLOOKUP(tblRisk[[#This Row],[Threat Cluster]],tblHIT[Threat Cluster],tblHIT[Quintile]))</f>
        <v>2</v>
      </c>
      <c r="Z117" s="152">
        <v>4</v>
      </c>
      <c r="AA117" s="153" t="str">
        <f>IF(OR(ISBLANK(tblRisk[[#This Row],[HIT Quintile]]),ISBLANK(tblRisk[[#This Row],[Control Maturity]])),"",_xlfn.XLOOKUP(tblRisk[[#This Row],[Control Maturity]] &amp; tblRisk[[#This Row],[HIT Quintile]],tblHITWDI[Lookup],tblHITWDI[Likelihood Description]))</f>
        <v>Foreseeable, not expected</v>
      </c>
      <c r="AB117" s="161">
        <f>IF(ISERROR(tblRisk[[#This Row],[Likelihood of Control Failure]]),"",VLOOKUP(tblRisk[[#This Row],[Likelihood of Control Failure]],tblLikelihood[],2,FALSE))</f>
        <v>2</v>
      </c>
      <c r="AC117" s="154">
        <v>2</v>
      </c>
      <c r="AD117" s="155">
        <v>2</v>
      </c>
      <c r="AE117" s="155">
        <v>2</v>
      </c>
      <c r="AF117" s="162">
        <f>IF(ISBLANK(tblRisk[[#This Row],[Impact to Mission]]),"",MAX(tblRisk[[#This Row],[Impact to Mission]:[Impact to Obligations]]))</f>
        <v>2</v>
      </c>
      <c r="AG117" s="163">
        <f>IF(ISERROR(tblRisk[[#This Row],[Impact Score]]*tblRisk[[#This Row],[Likelihood Score]]),"",tblRisk[[#This Row],[Likelihood Score]]*tblRisk[[#This Row],[Impact Score]])</f>
        <v>4</v>
      </c>
      <c r="AH117" s="163">
        <f>tblRisk[[#This Row],[Risk Score]]</f>
        <v>4</v>
      </c>
      <c r="AI117" s="164">
        <f t="shared" si="3"/>
        <v>9</v>
      </c>
      <c r="AJ117" s="164">
        <f>IF(tblRisk[[#This Row],[Safeguard Status]]="In Place",tblRisk[[#This Row],[Control Maturity after SG]],tblRisk[[#This Row],[Control Maturity]])</f>
        <v>4</v>
      </c>
      <c r="AK117" s="173" t="str">
        <f>IF(tblRisk[[#This Row],[Safeguard Status]]="In Place",tblRisk[[#This Row],[Safeguard Threat Cluster]],tblRisk[[#This Row],[Threat Cluster]])</f>
        <v>Personnel Error</v>
      </c>
      <c r="AL117" s="164">
        <f>IF(tblRisk[[#This Row],[Safeguard Status]]="In Place",tblRisk[[#This Row],[Risk Level With Safeguard in Place]],tblRisk[[#This Row],[Risk Level]])</f>
        <v>4</v>
      </c>
      <c r="AM117" s="165" t="s">
        <v>1887</v>
      </c>
      <c r="AN117" s="165" t="str">
        <f>IF(tblRisk[[#This Row],[Risk Treatment Option]]="Manage",_xlfn.IFNA(INDEX(tblRiskTreatmentPrograms[#Data],MATCH(tblRisk[[#This Row],[Common Security Program]]&amp;tblRisk[[#This Row],[Common Security Control]],tblRiskTreatmentPrograms[Lookup],0),MATCH($AN$3,tblRiskTreatmentPrograms[#Headers],0)),txtBadRTP),"")</f>
        <v/>
      </c>
      <c r="AO117" s="165" t="str">
        <f>IF(tblRisk[[#This Row],[Risk Treatment Program]]="","",INDEX(tblRiskTreatmentPrograms[#Data],MATCH(tblRisk[[#This Row],[Risk Treatment Program]],tblRiskTreatmentPrograms[Risk Treatment Program],0),MATCH($AO$3,tblRiskTreatmentPrograms[#Headers],0)))</f>
        <v/>
      </c>
      <c r="AP117" s="165"/>
      <c r="AQ11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7" s="19" t="str">
        <f>tblRisk[[#This Row],[Threat Cluster]]</f>
        <v>Personnel Error</v>
      </c>
      <c r="AS117" s="156">
        <f>IF(ISBLANK(tblRisk[[#This Row],[Safeguard Threat Cluster]]),"",_xlfn.XLOOKUP(tblRisk[[#This Row],[Safeguard Threat Cluster]],tblHIT[Threat Cluster],tblHIT[Quintile]))</f>
        <v>2</v>
      </c>
      <c r="AT117" s="157">
        <f>_xlfn.SWITCH(tblRisk[[#This Row],[Risk Treatment Option]],"Manage",tblRisk[[#This Row],[Control Maturity]]+1,tblRisk[[#This Row],[Control Maturity]])</f>
        <v>4</v>
      </c>
      <c r="AU11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7" s="166">
        <f>IF(ISERROR(tblRisk[[#This Row],[Likelihood of Control Failure after SG]]),"",VLOOKUP(tblRisk[[#This Row],[Likelihood of Control Failure after SG]],tblLikelihood[#Data],2,FALSE))</f>
        <v>2</v>
      </c>
      <c r="AW117" s="159">
        <f>tblRisk[[#This Row],[Impact to Mission]]</f>
        <v>2</v>
      </c>
      <c r="AX117" s="159">
        <f>tblRisk[[#This Row],[Impact to Objectives]]</f>
        <v>2</v>
      </c>
      <c r="AY117" s="159">
        <f>tblRisk[[#This Row],[Impact to Obligations]]</f>
        <v>2</v>
      </c>
      <c r="AZ117" s="166">
        <f>IF(ISBLANK(tblRisk[[#This Row],[Impact to Mission With Safeguard in Place]]),"",MAX(tblRisk[[#This Row],[Impact to Mission With Safeguard in Place]:[Impact to Obligations With Safeguard in Place]]))</f>
        <v>2</v>
      </c>
      <c r="BA117" s="167">
        <f>IF(ISERROR(tblRisk[[#This Row],[Impact Score with Safeguard in Place]]*tblRisk[[#This Row],[Likelihood Score with Safeguard in Place]]),"",tblRisk[[#This Row],[Impact Score with Safeguard in Place]]*tblRisk[[#This Row],[Likelihood Score with Safeguard in Place]])</f>
        <v>4</v>
      </c>
      <c r="BB117" s="164">
        <f>tblRisk[[#This Row],[Risk Score With Safeguard in Place]]</f>
        <v>4</v>
      </c>
      <c r="BC117" s="168" t="str">
        <f>IF(tblRisk[[#This Row],[Risk Treatment Option]]&lt;&gt;"Accept",IF(_xlfn.XLOOKUP(tblRisk[[#This Row],[Specific Safeguard Recommendation]],ProTrak[Task],ProTrak[Status],"Not Found")="Completed","Pending Validation","Pending"),"")</f>
        <v/>
      </c>
      <c r="BD117" s="169" t="str">
        <f>_xlfn.XLOOKUP(tblRisk[[#This Row],[Risk Treatment Program]],tblRiskTreatmentPrograms[Risk Treatment Program],tblRiskTreatmentPrograms[Estimated End Date (MM/DD/YYYY)],"")</f>
        <v/>
      </c>
      <c r="BE117" s="170"/>
      <c r="BF117" s="171" t="str">
        <f>_xlfn.IFNA(IF(tblRisk[[#This Row],[Due Date]]&lt;=vWhatIfQuarter,"Closed",""),"")</f>
        <v/>
      </c>
      <c r="BG117" s="171">
        <f>IF(tblRisk[[#This Row],[Scenario Builder Status]]="Closed",tblRisk[[#This Row],[Risk Score With Safeguard in Place]],tblRisk[[#This Row],[Risk Score]])</f>
        <v>4</v>
      </c>
      <c r="BH117" s="192" t="str">
        <f>tblRisk[[#This Row],[Common Security Program]]&amp;tblRisk[[#This Row],[Common Security Control]]&amp;tblRisk[[#This Row],[Asset Designation ]]</f>
        <v>Security AwarenessOperationUsers</v>
      </c>
      <c r="BI117" s="191"/>
      <c r="BJ117" s="191"/>
      <c r="BK117" s="191"/>
      <c r="BL117" s="191"/>
      <c r="BM117" s="191"/>
      <c r="BN117" s="191"/>
      <c r="BO117" s="191"/>
      <c r="BP117" s="191"/>
      <c r="BQ117" s="191"/>
    </row>
    <row r="118" spans="1:69" ht="94.5" x14ac:dyDescent="0.65">
      <c r="A118" s="160">
        <v>115</v>
      </c>
      <c r="B118" s="160" t="s">
        <v>899</v>
      </c>
      <c r="C118" s="19" t="s">
        <v>989</v>
      </c>
      <c r="D118" s="28" t="s">
        <v>1236</v>
      </c>
      <c r="E118" s="207" t="s">
        <v>1098</v>
      </c>
      <c r="F118" s="194" t="s">
        <v>117</v>
      </c>
      <c r="G118" s="194" t="s">
        <v>117</v>
      </c>
      <c r="H118" s="194" t="s">
        <v>117</v>
      </c>
      <c r="I118" s="194" t="s">
        <v>1081</v>
      </c>
      <c r="J118" s="194" t="s">
        <v>1081</v>
      </c>
      <c r="K118" s="194" t="s">
        <v>1081</v>
      </c>
      <c r="L118" s="194" t="s">
        <v>1081</v>
      </c>
      <c r="M118" s="194" t="s">
        <v>1081</v>
      </c>
      <c r="N118" s="194">
        <f>COUNTIF(tblRisk[[#This Row],[Defends Against Malware]:[Defends Against Targeted Intrusions]],"Yes")</f>
        <v>5</v>
      </c>
      <c r="O118" s="160" t="s">
        <v>25</v>
      </c>
      <c r="P118" s="160" t="s">
        <v>88</v>
      </c>
      <c r="Q118" s="160" t="s">
        <v>33</v>
      </c>
      <c r="R118" s="160" t="s">
        <v>1086</v>
      </c>
      <c r="S118" s="160" t="s">
        <v>1452</v>
      </c>
      <c r="T118" s="160" t="s">
        <v>1450</v>
      </c>
      <c r="U118" s="160" t="s">
        <v>1451</v>
      </c>
      <c r="V118" s="19" t="s">
        <v>1676</v>
      </c>
      <c r="W118" s="160" t="s">
        <v>1837</v>
      </c>
      <c r="X118" s="160" t="s">
        <v>1838</v>
      </c>
      <c r="Y118" s="151">
        <f>IF(ISBLANK(tblRisk[[#This Row],[Threat Cluster]]),"",_xlfn.XLOOKUP(tblRisk[[#This Row],[Threat Cluster]],tblHIT[Threat Cluster],tblHIT[Quintile]))</f>
        <v>2</v>
      </c>
      <c r="Z118" s="152">
        <v>3</v>
      </c>
      <c r="AA118" s="153" t="str">
        <f>IF(OR(ISBLANK(tblRisk[[#This Row],[HIT Quintile]]),ISBLANK(tblRisk[[#This Row],[Control Maturity]])),"",_xlfn.XLOOKUP(tblRisk[[#This Row],[Control Maturity]] &amp; tblRisk[[#This Row],[HIT Quintile]],tblHITWDI[Lookup],tblHITWDI[Likelihood Description]))</f>
        <v>Foreseeable, expected</v>
      </c>
      <c r="AB118" s="161">
        <f>IF(ISERROR(tblRisk[[#This Row],[Likelihood of Control Failure]]),"",VLOOKUP(tblRisk[[#This Row],[Likelihood of Control Failure]],tblLikelihood[],2,FALSE))</f>
        <v>3</v>
      </c>
      <c r="AC118" s="154">
        <v>2</v>
      </c>
      <c r="AD118" s="155">
        <v>2</v>
      </c>
      <c r="AE118" s="155">
        <v>2</v>
      </c>
      <c r="AF118" s="162">
        <f>IF(ISBLANK(tblRisk[[#This Row],[Impact to Mission]]),"",MAX(tblRisk[[#This Row],[Impact to Mission]:[Impact to Obligations]]))</f>
        <v>2</v>
      </c>
      <c r="AG118" s="163">
        <f>IF(ISERROR(tblRisk[[#This Row],[Impact Score]]*tblRisk[[#This Row],[Likelihood Score]]),"",tblRisk[[#This Row],[Likelihood Score]]*tblRisk[[#This Row],[Impact Score]])</f>
        <v>6</v>
      </c>
      <c r="AH118" s="163">
        <f>tblRisk[[#This Row],[Risk Score]]</f>
        <v>6</v>
      </c>
      <c r="AI118" s="164">
        <f t="shared" si="3"/>
        <v>9</v>
      </c>
      <c r="AJ118" s="164">
        <f>IF(tblRisk[[#This Row],[Safeguard Status]]="In Place",tblRisk[[#This Row],[Control Maturity after SG]],tblRisk[[#This Row],[Control Maturity]])</f>
        <v>3</v>
      </c>
      <c r="AK118" s="173" t="str">
        <f>IF(tblRisk[[#This Row],[Safeguard Status]]="In Place",tblRisk[[#This Row],[Safeguard Threat Cluster]],tblRisk[[#This Row],[Threat Cluster]])</f>
        <v>Personnel Error</v>
      </c>
      <c r="AL118" s="164">
        <f>IF(tblRisk[[#This Row],[Safeguard Status]]="In Place",tblRisk[[#This Row],[Risk Level With Safeguard in Place]],tblRisk[[#This Row],[Risk Level]])</f>
        <v>6</v>
      </c>
      <c r="AM118" s="165" t="s">
        <v>1887</v>
      </c>
      <c r="AN118" s="165" t="str">
        <f>IF(tblRisk[[#This Row],[Risk Treatment Option]]="Manage",_xlfn.IFNA(INDEX(tblRiskTreatmentPrograms[#Data],MATCH(tblRisk[[#This Row],[Common Security Program]]&amp;tblRisk[[#This Row],[Common Security Control]],tblRiskTreatmentPrograms[Lookup],0),MATCH($AN$3,tblRiskTreatmentPrograms[#Headers],0)),txtBadRTP),"")</f>
        <v/>
      </c>
      <c r="AO118" s="165" t="str">
        <f>IF(tblRisk[[#This Row],[Risk Treatment Program]]="","",INDEX(tblRiskTreatmentPrograms[#Data],MATCH(tblRisk[[#This Row],[Risk Treatment Program]],tblRiskTreatmentPrograms[Risk Treatment Program],0),MATCH($AO$3,tblRiskTreatmentPrograms[#Headers],0)))</f>
        <v/>
      </c>
      <c r="AP118" s="165"/>
      <c r="AQ11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8" s="19" t="str">
        <f>tblRisk[[#This Row],[Threat Cluster]]</f>
        <v>Personnel Error</v>
      </c>
      <c r="AS118" s="156">
        <f>IF(ISBLANK(tblRisk[[#This Row],[Safeguard Threat Cluster]]),"",_xlfn.XLOOKUP(tblRisk[[#This Row],[Safeguard Threat Cluster]],tblHIT[Threat Cluster],tblHIT[Quintile]))</f>
        <v>2</v>
      </c>
      <c r="AT118" s="157">
        <f>_xlfn.SWITCH(tblRisk[[#This Row],[Risk Treatment Option]],"Manage",tblRisk[[#This Row],[Control Maturity]]+1,tblRisk[[#This Row],[Control Maturity]])</f>
        <v>3</v>
      </c>
      <c r="AU118" s="158" t="str">
        <f>IF(OR(ISBLANK(tblRisk[[#This Row],[Safeguard HIT Quintile]]),ISBLANK(tblRisk[[#This Row],[Control Maturity after SG]])),"",_xlfn.XLOOKUP(tblRisk[[#This Row],[Control Maturity after SG]] &amp;tblRisk[[#This Row],[Safeguard HIT Quintile]],tblHITWDI[Lookup],tblHITWDI[Likelihood Description]))</f>
        <v>Foreseeable, expected</v>
      </c>
      <c r="AV118" s="166">
        <f>IF(ISERROR(tblRisk[[#This Row],[Likelihood of Control Failure after SG]]),"",VLOOKUP(tblRisk[[#This Row],[Likelihood of Control Failure after SG]],tblLikelihood[#Data],2,FALSE))</f>
        <v>3</v>
      </c>
      <c r="AW118" s="159">
        <f>tblRisk[[#This Row],[Impact to Mission]]</f>
        <v>2</v>
      </c>
      <c r="AX118" s="159">
        <f>tblRisk[[#This Row],[Impact to Objectives]]</f>
        <v>2</v>
      </c>
      <c r="AY118" s="159">
        <f>tblRisk[[#This Row],[Impact to Obligations]]</f>
        <v>2</v>
      </c>
      <c r="AZ118" s="166">
        <f>IF(ISBLANK(tblRisk[[#This Row],[Impact to Mission With Safeguard in Place]]),"",MAX(tblRisk[[#This Row],[Impact to Mission With Safeguard in Place]:[Impact to Obligations With Safeguard in Place]]))</f>
        <v>2</v>
      </c>
      <c r="BA118" s="167">
        <f>IF(ISERROR(tblRisk[[#This Row],[Impact Score with Safeguard in Place]]*tblRisk[[#This Row],[Likelihood Score with Safeguard in Place]]),"",tblRisk[[#This Row],[Impact Score with Safeguard in Place]]*tblRisk[[#This Row],[Likelihood Score with Safeguard in Place]])</f>
        <v>6</v>
      </c>
      <c r="BB118" s="164">
        <f>tblRisk[[#This Row],[Risk Score With Safeguard in Place]]</f>
        <v>6</v>
      </c>
      <c r="BC118" s="168" t="str">
        <f>IF(tblRisk[[#This Row],[Risk Treatment Option]]&lt;&gt;"Accept",IF(_xlfn.XLOOKUP(tblRisk[[#This Row],[Specific Safeguard Recommendation]],ProTrak[Task],ProTrak[Status],"Not Found")="Completed","Pending Validation","Pending"),"")</f>
        <v/>
      </c>
      <c r="BD118" s="169" t="str">
        <f>_xlfn.XLOOKUP(tblRisk[[#This Row],[Risk Treatment Program]],tblRiskTreatmentPrograms[Risk Treatment Program],tblRiskTreatmentPrograms[Estimated End Date (MM/DD/YYYY)],"")</f>
        <v/>
      </c>
      <c r="BE118" s="170"/>
      <c r="BF118" s="171" t="str">
        <f>_xlfn.IFNA(IF(tblRisk[[#This Row],[Due Date]]&lt;=vWhatIfQuarter,"Closed",""),"")</f>
        <v/>
      </c>
      <c r="BG118" s="171">
        <f>IF(tblRisk[[#This Row],[Scenario Builder Status]]="Closed",tblRisk[[#This Row],[Risk Score With Safeguard in Place]],tblRisk[[#This Row],[Risk Score]])</f>
        <v>6</v>
      </c>
      <c r="BH118" s="192" t="str">
        <f>tblRisk[[#This Row],[Common Security Program]]&amp;tblRisk[[#This Row],[Common Security Control]]&amp;tblRisk[[#This Row],[Asset Designation ]]</f>
        <v>Security AwarenessOperationUsers</v>
      </c>
      <c r="BI118" s="191"/>
      <c r="BJ118" s="191"/>
      <c r="BK118" s="191"/>
      <c r="BL118" s="191"/>
      <c r="BM118" s="191" t="s">
        <v>117</v>
      </c>
      <c r="BN118" s="191"/>
      <c r="BO118" s="191" t="s">
        <v>117</v>
      </c>
      <c r="BP118" s="191"/>
      <c r="BQ118" s="191" t="s">
        <v>117</v>
      </c>
    </row>
    <row r="119" spans="1:69" ht="94.5" x14ac:dyDescent="0.65">
      <c r="A119" s="160">
        <v>116</v>
      </c>
      <c r="B119" s="160" t="s">
        <v>899</v>
      </c>
      <c r="C119" s="19" t="s">
        <v>990</v>
      </c>
      <c r="D119" s="28" t="s">
        <v>1237</v>
      </c>
      <c r="E119" s="207" t="s">
        <v>1092</v>
      </c>
      <c r="F119" s="194" t="s">
        <v>117</v>
      </c>
      <c r="G119" s="194" t="s">
        <v>117</v>
      </c>
      <c r="H119" s="194" t="s">
        <v>117</v>
      </c>
      <c r="I119" s="194" t="s">
        <v>1080</v>
      </c>
      <c r="J119" s="194" t="s">
        <v>1080</v>
      </c>
      <c r="K119" s="194" t="s">
        <v>1080</v>
      </c>
      <c r="L119" s="194" t="s">
        <v>1080</v>
      </c>
      <c r="M119" s="194" t="s">
        <v>1080</v>
      </c>
      <c r="N119" s="194">
        <f>COUNTIF(tblRisk[[#This Row],[Defends Against Malware]:[Defends Against Targeted Intrusions]],"Yes")</f>
        <v>0</v>
      </c>
      <c r="O119" s="160" t="s">
        <v>25</v>
      </c>
      <c r="P119" s="160" t="s">
        <v>88</v>
      </c>
      <c r="Q119" s="160" t="s">
        <v>33</v>
      </c>
      <c r="R119" s="160" t="s">
        <v>1086</v>
      </c>
      <c r="S119" s="160" t="s">
        <v>1452</v>
      </c>
      <c r="T119" s="160" t="s">
        <v>1450</v>
      </c>
      <c r="U119" s="160" t="s">
        <v>1451</v>
      </c>
      <c r="V119" s="19" t="s">
        <v>1677</v>
      </c>
      <c r="W119" s="160" t="s">
        <v>1709</v>
      </c>
      <c r="X119" s="160" t="s">
        <v>1839</v>
      </c>
      <c r="Y119" s="151">
        <f>IF(ISBLANK(tblRisk[[#This Row],[Threat Cluster]]),"",_xlfn.XLOOKUP(tblRisk[[#This Row],[Threat Cluster]],tblHIT[Threat Cluster],tblHIT[Quintile]))</f>
        <v>2</v>
      </c>
      <c r="Z119" s="152">
        <v>4</v>
      </c>
      <c r="AA119" s="153" t="str">
        <f>IF(OR(ISBLANK(tblRisk[[#This Row],[HIT Quintile]]),ISBLANK(tblRisk[[#This Row],[Control Maturity]])),"",_xlfn.XLOOKUP(tblRisk[[#This Row],[Control Maturity]] &amp; tblRisk[[#This Row],[HIT Quintile]],tblHITWDI[Lookup],tblHITWDI[Likelihood Description]))</f>
        <v>Foreseeable, not expected</v>
      </c>
      <c r="AB119" s="161">
        <f>IF(ISERROR(tblRisk[[#This Row],[Likelihood of Control Failure]]),"",VLOOKUP(tblRisk[[#This Row],[Likelihood of Control Failure]],tblLikelihood[],2,FALSE))</f>
        <v>2</v>
      </c>
      <c r="AC119" s="154">
        <v>2</v>
      </c>
      <c r="AD119" s="155">
        <v>2</v>
      </c>
      <c r="AE119" s="155">
        <v>2</v>
      </c>
      <c r="AF119" s="162">
        <f>IF(ISBLANK(tblRisk[[#This Row],[Impact to Mission]]),"",MAX(tblRisk[[#This Row],[Impact to Mission]:[Impact to Obligations]]))</f>
        <v>2</v>
      </c>
      <c r="AG119" s="163">
        <f>IF(ISERROR(tblRisk[[#This Row],[Impact Score]]*tblRisk[[#This Row],[Likelihood Score]]),"",tblRisk[[#This Row],[Likelihood Score]]*tblRisk[[#This Row],[Impact Score]])</f>
        <v>4</v>
      </c>
      <c r="AH119" s="163">
        <f>tblRisk[[#This Row],[Risk Score]]</f>
        <v>4</v>
      </c>
      <c r="AI119" s="164">
        <f t="shared" si="3"/>
        <v>9</v>
      </c>
      <c r="AJ119" s="164">
        <f>IF(tblRisk[[#This Row],[Safeguard Status]]="In Place",tblRisk[[#This Row],[Control Maturity after SG]],tblRisk[[#This Row],[Control Maturity]])</f>
        <v>4</v>
      </c>
      <c r="AK119" s="173" t="str">
        <f>IF(tblRisk[[#This Row],[Safeguard Status]]="In Place",tblRisk[[#This Row],[Safeguard Threat Cluster]],tblRisk[[#This Row],[Threat Cluster]])</f>
        <v>Personnel Error</v>
      </c>
      <c r="AL119" s="164">
        <f>IF(tblRisk[[#This Row],[Safeguard Status]]="In Place",tblRisk[[#This Row],[Risk Level With Safeguard in Place]],tblRisk[[#This Row],[Risk Level]])</f>
        <v>4</v>
      </c>
      <c r="AM119" s="165" t="s">
        <v>1887</v>
      </c>
      <c r="AN119" s="165" t="str">
        <f>IF(tblRisk[[#This Row],[Risk Treatment Option]]="Manage",_xlfn.IFNA(INDEX(tblRiskTreatmentPrograms[#Data],MATCH(tblRisk[[#This Row],[Common Security Program]]&amp;tblRisk[[#This Row],[Common Security Control]],tblRiskTreatmentPrograms[Lookup],0),MATCH($AN$3,tblRiskTreatmentPrograms[#Headers],0)),txtBadRTP),"")</f>
        <v/>
      </c>
      <c r="AO119" s="165" t="str">
        <f>IF(tblRisk[[#This Row],[Risk Treatment Program]]="","",INDEX(tblRiskTreatmentPrograms[#Data],MATCH(tblRisk[[#This Row],[Risk Treatment Program]],tblRiskTreatmentPrograms[Risk Treatment Program],0),MATCH($AO$3,tblRiskTreatmentPrograms[#Headers],0)))</f>
        <v/>
      </c>
      <c r="AP119" s="165"/>
      <c r="AQ11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19" s="19" t="str">
        <f>tblRisk[[#This Row],[Threat Cluster]]</f>
        <v>Personnel Error</v>
      </c>
      <c r="AS119" s="156">
        <f>IF(ISBLANK(tblRisk[[#This Row],[Safeguard Threat Cluster]]),"",_xlfn.XLOOKUP(tblRisk[[#This Row],[Safeguard Threat Cluster]],tblHIT[Threat Cluster],tblHIT[Quintile]))</f>
        <v>2</v>
      </c>
      <c r="AT119" s="157">
        <f>_xlfn.SWITCH(tblRisk[[#This Row],[Risk Treatment Option]],"Manage",tblRisk[[#This Row],[Control Maturity]]+1,tblRisk[[#This Row],[Control Maturity]])</f>
        <v>4</v>
      </c>
      <c r="AU11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19" s="166">
        <f>IF(ISERROR(tblRisk[[#This Row],[Likelihood of Control Failure after SG]]),"",VLOOKUP(tblRisk[[#This Row],[Likelihood of Control Failure after SG]],tblLikelihood[#Data],2,FALSE))</f>
        <v>2</v>
      </c>
      <c r="AW119" s="159">
        <f>tblRisk[[#This Row],[Impact to Mission]]</f>
        <v>2</v>
      </c>
      <c r="AX119" s="159">
        <f>tblRisk[[#This Row],[Impact to Objectives]]</f>
        <v>2</v>
      </c>
      <c r="AY119" s="159">
        <f>tblRisk[[#This Row],[Impact to Obligations]]</f>
        <v>2</v>
      </c>
      <c r="AZ119" s="166">
        <f>IF(ISBLANK(tblRisk[[#This Row],[Impact to Mission With Safeguard in Place]]),"",MAX(tblRisk[[#This Row],[Impact to Mission With Safeguard in Place]:[Impact to Obligations With Safeguard in Place]]))</f>
        <v>2</v>
      </c>
      <c r="BA119" s="167">
        <f>IF(ISERROR(tblRisk[[#This Row],[Impact Score with Safeguard in Place]]*tblRisk[[#This Row],[Likelihood Score with Safeguard in Place]]),"",tblRisk[[#This Row],[Impact Score with Safeguard in Place]]*tblRisk[[#This Row],[Likelihood Score with Safeguard in Place]])</f>
        <v>4</v>
      </c>
      <c r="BB119" s="164">
        <f>tblRisk[[#This Row],[Risk Score With Safeguard in Place]]</f>
        <v>4</v>
      </c>
      <c r="BC119" s="168" t="str">
        <f>IF(tblRisk[[#This Row],[Risk Treatment Option]]&lt;&gt;"Accept",IF(_xlfn.XLOOKUP(tblRisk[[#This Row],[Specific Safeguard Recommendation]],ProTrak[Task],ProTrak[Status],"Not Found")="Completed","Pending Validation","Pending"),"")</f>
        <v/>
      </c>
      <c r="BD119" s="169" t="str">
        <f>_xlfn.XLOOKUP(tblRisk[[#This Row],[Risk Treatment Program]],tblRiskTreatmentPrograms[Risk Treatment Program],tblRiskTreatmentPrograms[Estimated End Date (MM/DD/YYYY)],"")</f>
        <v/>
      </c>
      <c r="BE119" s="170"/>
      <c r="BF119" s="171" t="str">
        <f>_xlfn.IFNA(IF(tblRisk[[#This Row],[Due Date]]&lt;=vWhatIfQuarter,"Closed",""),"")</f>
        <v/>
      </c>
      <c r="BG119" s="171">
        <f>IF(tblRisk[[#This Row],[Scenario Builder Status]]="Closed",tblRisk[[#This Row],[Risk Score With Safeguard in Place]],tblRisk[[#This Row],[Risk Score]])</f>
        <v>4</v>
      </c>
      <c r="BH119" s="192" t="str">
        <f>tblRisk[[#This Row],[Common Security Program]]&amp;tblRisk[[#This Row],[Common Security Control]]&amp;tblRisk[[#This Row],[Asset Designation ]]</f>
        <v>Security AwarenessOperationUsers</v>
      </c>
      <c r="BI119" s="191"/>
      <c r="BJ119" s="191"/>
      <c r="BK119" s="191"/>
      <c r="BL119" s="191"/>
      <c r="BM119" s="191"/>
      <c r="BN119" s="191"/>
      <c r="BO119" s="191"/>
      <c r="BP119" s="191"/>
      <c r="BQ119" s="191"/>
    </row>
    <row r="120" spans="1:69" ht="94.5" x14ac:dyDescent="0.65">
      <c r="A120" s="160">
        <v>117</v>
      </c>
      <c r="B120" s="160" t="s">
        <v>899</v>
      </c>
      <c r="C120" s="19" t="s">
        <v>991</v>
      </c>
      <c r="D120" s="28" t="s">
        <v>1238</v>
      </c>
      <c r="E120" s="207" t="s">
        <v>1092</v>
      </c>
      <c r="F120" s="194" t="s">
        <v>117</v>
      </c>
      <c r="G120" s="194" t="s">
        <v>117</v>
      </c>
      <c r="H120" s="194" t="s">
        <v>117</v>
      </c>
      <c r="I120" s="194" t="s">
        <v>1080</v>
      </c>
      <c r="J120" s="194" t="s">
        <v>1080</v>
      </c>
      <c r="K120" s="194" t="s">
        <v>1080</v>
      </c>
      <c r="L120" s="194" t="s">
        <v>1080</v>
      </c>
      <c r="M120" s="194" t="s">
        <v>1080</v>
      </c>
      <c r="N120" s="194">
        <f>COUNTIF(tblRisk[[#This Row],[Defends Against Malware]:[Defends Against Targeted Intrusions]],"Yes")</f>
        <v>0</v>
      </c>
      <c r="O120" s="160" t="s">
        <v>25</v>
      </c>
      <c r="P120" s="160" t="s">
        <v>88</v>
      </c>
      <c r="Q120" s="160" t="s">
        <v>33</v>
      </c>
      <c r="R120" s="160" t="s">
        <v>1086</v>
      </c>
      <c r="S120" s="160" t="s">
        <v>1452</v>
      </c>
      <c r="T120" s="160" t="s">
        <v>1450</v>
      </c>
      <c r="U120" s="160" t="s">
        <v>1451</v>
      </c>
      <c r="V120" s="160" t="s">
        <v>1618</v>
      </c>
      <c r="W120" s="160" t="s">
        <v>1709</v>
      </c>
      <c r="X120" s="160" t="s">
        <v>1840</v>
      </c>
      <c r="Y120" s="151">
        <f>IF(ISBLANK(tblRisk[[#This Row],[Threat Cluster]]),"",_xlfn.XLOOKUP(tblRisk[[#This Row],[Threat Cluster]],tblHIT[Threat Cluster],tblHIT[Quintile]))</f>
        <v>2</v>
      </c>
      <c r="Z120" s="152">
        <v>4</v>
      </c>
      <c r="AA120" s="153" t="str">
        <f>IF(OR(ISBLANK(tblRisk[[#This Row],[HIT Quintile]]),ISBLANK(tblRisk[[#This Row],[Control Maturity]])),"",_xlfn.XLOOKUP(tblRisk[[#This Row],[Control Maturity]] &amp; tblRisk[[#This Row],[HIT Quintile]],tblHITWDI[Lookup],tblHITWDI[Likelihood Description]))</f>
        <v>Foreseeable, not expected</v>
      </c>
      <c r="AB120" s="161">
        <f>IF(ISERROR(tblRisk[[#This Row],[Likelihood of Control Failure]]),"",VLOOKUP(tblRisk[[#This Row],[Likelihood of Control Failure]],tblLikelihood[],2,FALSE))</f>
        <v>2</v>
      </c>
      <c r="AC120" s="154">
        <v>2</v>
      </c>
      <c r="AD120" s="155">
        <v>2</v>
      </c>
      <c r="AE120" s="155">
        <v>2</v>
      </c>
      <c r="AF120" s="162">
        <f>IF(ISBLANK(tblRisk[[#This Row],[Impact to Mission]]),"",MAX(tblRisk[[#This Row],[Impact to Mission]:[Impact to Obligations]]))</f>
        <v>2</v>
      </c>
      <c r="AG120" s="163">
        <f>IF(ISERROR(tblRisk[[#This Row],[Impact Score]]*tblRisk[[#This Row],[Likelihood Score]]),"",tblRisk[[#This Row],[Likelihood Score]]*tblRisk[[#This Row],[Impact Score]])</f>
        <v>4</v>
      </c>
      <c r="AH120" s="163">
        <f>tblRisk[[#This Row],[Risk Score]]</f>
        <v>4</v>
      </c>
      <c r="AI120" s="164">
        <f t="shared" si="3"/>
        <v>9</v>
      </c>
      <c r="AJ120" s="164">
        <f>IF(tblRisk[[#This Row],[Safeguard Status]]="In Place",tblRisk[[#This Row],[Control Maturity after SG]],tblRisk[[#This Row],[Control Maturity]])</f>
        <v>4</v>
      </c>
      <c r="AK120" s="173" t="str">
        <f>IF(tblRisk[[#This Row],[Safeguard Status]]="In Place",tblRisk[[#This Row],[Safeguard Threat Cluster]],tblRisk[[#This Row],[Threat Cluster]])</f>
        <v>Personnel Error</v>
      </c>
      <c r="AL120" s="164">
        <f>IF(tblRisk[[#This Row],[Safeguard Status]]="In Place",tblRisk[[#This Row],[Risk Level With Safeguard in Place]],tblRisk[[#This Row],[Risk Level]])</f>
        <v>4</v>
      </c>
      <c r="AM120" s="165" t="s">
        <v>1887</v>
      </c>
      <c r="AN120" s="165" t="str">
        <f>IF(tblRisk[[#This Row],[Risk Treatment Option]]="Manage",_xlfn.IFNA(INDEX(tblRiskTreatmentPrograms[#Data],MATCH(tblRisk[[#This Row],[Common Security Program]]&amp;tblRisk[[#This Row],[Common Security Control]],tblRiskTreatmentPrograms[Lookup],0),MATCH($AN$3,tblRiskTreatmentPrograms[#Headers],0)),txtBadRTP),"")</f>
        <v/>
      </c>
      <c r="AO120" s="165" t="str">
        <f>IF(tblRisk[[#This Row],[Risk Treatment Program]]="","",INDEX(tblRiskTreatmentPrograms[#Data],MATCH(tblRisk[[#This Row],[Risk Treatment Program]],tblRiskTreatmentPrograms[Risk Treatment Program],0),MATCH($AO$3,tblRiskTreatmentPrograms[#Headers],0)))</f>
        <v/>
      </c>
      <c r="AP120" s="165"/>
      <c r="AQ12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0" s="19" t="str">
        <f>tblRisk[[#This Row],[Threat Cluster]]</f>
        <v>Personnel Error</v>
      </c>
      <c r="AS120" s="156">
        <f>IF(ISBLANK(tblRisk[[#This Row],[Safeguard Threat Cluster]]),"",_xlfn.XLOOKUP(tblRisk[[#This Row],[Safeguard Threat Cluster]],tblHIT[Threat Cluster],tblHIT[Quintile]))</f>
        <v>2</v>
      </c>
      <c r="AT120" s="157">
        <f>_xlfn.SWITCH(tblRisk[[#This Row],[Risk Treatment Option]],"Manage",tblRisk[[#This Row],[Control Maturity]]+1,tblRisk[[#This Row],[Control Maturity]])</f>
        <v>4</v>
      </c>
      <c r="AU12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0" s="166">
        <f>IF(ISERROR(tblRisk[[#This Row],[Likelihood of Control Failure after SG]]),"",VLOOKUP(tblRisk[[#This Row],[Likelihood of Control Failure after SG]],tblLikelihood[#Data],2,FALSE))</f>
        <v>2</v>
      </c>
      <c r="AW120" s="159">
        <f>tblRisk[[#This Row],[Impact to Mission]]</f>
        <v>2</v>
      </c>
      <c r="AX120" s="159">
        <f>tblRisk[[#This Row],[Impact to Objectives]]</f>
        <v>2</v>
      </c>
      <c r="AY120" s="159">
        <f>tblRisk[[#This Row],[Impact to Obligations]]</f>
        <v>2</v>
      </c>
      <c r="AZ120" s="166">
        <f>IF(ISBLANK(tblRisk[[#This Row],[Impact to Mission With Safeguard in Place]]),"",MAX(tblRisk[[#This Row],[Impact to Mission With Safeguard in Place]:[Impact to Obligations With Safeguard in Place]]))</f>
        <v>2</v>
      </c>
      <c r="BA120" s="167">
        <f>IF(ISERROR(tblRisk[[#This Row],[Impact Score with Safeguard in Place]]*tblRisk[[#This Row],[Likelihood Score with Safeguard in Place]]),"",tblRisk[[#This Row],[Impact Score with Safeguard in Place]]*tblRisk[[#This Row],[Likelihood Score with Safeguard in Place]])</f>
        <v>4</v>
      </c>
      <c r="BB120" s="164">
        <f>tblRisk[[#This Row],[Risk Score With Safeguard in Place]]</f>
        <v>4</v>
      </c>
      <c r="BC120" s="168" t="str">
        <f>IF(tblRisk[[#This Row],[Risk Treatment Option]]&lt;&gt;"Accept",IF(_xlfn.XLOOKUP(tblRisk[[#This Row],[Specific Safeguard Recommendation]],ProTrak[Task],ProTrak[Status],"Not Found")="Completed","Pending Validation","Pending"),"")</f>
        <v/>
      </c>
      <c r="BD120" s="169" t="str">
        <f>_xlfn.XLOOKUP(tblRisk[[#This Row],[Risk Treatment Program]],tblRiskTreatmentPrograms[Risk Treatment Program],tblRiskTreatmentPrograms[Estimated End Date (MM/DD/YYYY)],"")</f>
        <v/>
      </c>
      <c r="BE120" s="170"/>
      <c r="BF120" s="171" t="str">
        <f>_xlfn.IFNA(IF(tblRisk[[#This Row],[Due Date]]&lt;=vWhatIfQuarter,"Closed",""),"")</f>
        <v/>
      </c>
      <c r="BG120" s="171">
        <f>IF(tblRisk[[#This Row],[Scenario Builder Status]]="Closed",tblRisk[[#This Row],[Risk Score With Safeguard in Place]],tblRisk[[#This Row],[Risk Score]])</f>
        <v>4</v>
      </c>
      <c r="BH120" s="192" t="str">
        <f>tblRisk[[#This Row],[Common Security Program]]&amp;tblRisk[[#This Row],[Common Security Control]]&amp;tblRisk[[#This Row],[Asset Designation ]]</f>
        <v>Security AwarenessOperationUsers</v>
      </c>
      <c r="BI120" s="191"/>
      <c r="BJ120" s="191"/>
      <c r="BK120" s="191"/>
      <c r="BL120" s="191"/>
      <c r="BM120" s="191"/>
      <c r="BN120" s="191"/>
      <c r="BO120" s="191"/>
      <c r="BP120" s="191"/>
      <c r="BQ120" s="191"/>
    </row>
    <row r="121" spans="1:69" ht="94.5" x14ac:dyDescent="0.65">
      <c r="A121" s="160">
        <v>118</v>
      </c>
      <c r="B121" s="160" t="s">
        <v>899</v>
      </c>
      <c r="C121" s="19" t="s">
        <v>992</v>
      </c>
      <c r="D121" s="28" t="s">
        <v>1239</v>
      </c>
      <c r="E121" s="207" t="s">
        <v>1098</v>
      </c>
      <c r="F121" s="194"/>
      <c r="G121" s="194" t="s">
        <v>117</v>
      </c>
      <c r="H121" s="194" t="s">
        <v>117</v>
      </c>
      <c r="I121" s="194" t="s">
        <v>1081</v>
      </c>
      <c r="J121" s="194" t="s">
        <v>1081</v>
      </c>
      <c r="K121" s="194" t="s">
        <v>1081</v>
      </c>
      <c r="L121" s="194" t="s">
        <v>1081</v>
      </c>
      <c r="M121" s="194" t="s">
        <v>1081</v>
      </c>
      <c r="N121" s="194">
        <f>COUNTIF(tblRisk[[#This Row],[Defends Against Malware]:[Defends Against Targeted Intrusions]],"Yes")</f>
        <v>5</v>
      </c>
      <c r="O121" s="160" t="s">
        <v>25</v>
      </c>
      <c r="P121" s="160" t="s">
        <v>88</v>
      </c>
      <c r="Q121" s="160" t="s">
        <v>33</v>
      </c>
      <c r="R121" s="160" t="s">
        <v>1086</v>
      </c>
      <c r="S121" s="160" t="s">
        <v>1452</v>
      </c>
      <c r="T121" s="160" t="s">
        <v>1450</v>
      </c>
      <c r="U121" s="160" t="s">
        <v>1451</v>
      </c>
      <c r="V121" s="19" t="s">
        <v>1910</v>
      </c>
      <c r="W121" s="160" t="s">
        <v>1709</v>
      </c>
      <c r="X121" s="160" t="s">
        <v>1841</v>
      </c>
      <c r="Y121" s="151">
        <f>IF(ISBLANK(tblRisk[[#This Row],[Threat Cluster]]),"",_xlfn.XLOOKUP(tblRisk[[#This Row],[Threat Cluster]],tblHIT[Threat Cluster],tblHIT[Quintile]))</f>
        <v>2</v>
      </c>
      <c r="Z121" s="152">
        <v>4</v>
      </c>
      <c r="AA121" s="153" t="str">
        <f>IF(OR(ISBLANK(tblRisk[[#This Row],[HIT Quintile]]),ISBLANK(tblRisk[[#This Row],[Control Maturity]])),"",_xlfn.XLOOKUP(tblRisk[[#This Row],[Control Maturity]] &amp; tblRisk[[#This Row],[HIT Quintile]],tblHITWDI[Lookup],tblHITWDI[Likelihood Description]))</f>
        <v>Foreseeable, not expected</v>
      </c>
      <c r="AB121" s="161">
        <f>IF(ISERROR(tblRisk[[#This Row],[Likelihood of Control Failure]]),"",VLOOKUP(tblRisk[[#This Row],[Likelihood of Control Failure]],tblLikelihood[],2,FALSE))</f>
        <v>2</v>
      </c>
      <c r="AC121" s="154">
        <v>2</v>
      </c>
      <c r="AD121" s="155">
        <v>2</v>
      </c>
      <c r="AE121" s="155">
        <v>2</v>
      </c>
      <c r="AF121" s="162">
        <f>IF(ISBLANK(tblRisk[[#This Row],[Impact to Mission]]),"",MAX(tblRisk[[#This Row],[Impact to Mission]:[Impact to Obligations]]))</f>
        <v>2</v>
      </c>
      <c r="AG121" s="163">
        <f>IF(ISERROR(tblRisk[[#This Row],[Impact Score]]*tblRisk[[#This Row],[Likelihood Score]]),"",tblRisk[[#This Row],[Likelihood Score]]*tblRisk[[#This Row],[Impact Score]])</f>
        <v>4</v>
      </c>
      <c r="AH121" s="163">
        <f>tblRisk[[#This Row],[Risk Score]]</f>
        <v>4</v>
      </c>
      <c r="AI121" s="164">
        <f t="shared" si="3"/>
        <v>9</v>
      </c>
      <c r="AJ121" s="164">
        <f>IF(tblRisk[[#This Row],[Safeguard Status]]="In Place",tblRisk[[#This Row],[Control Maturity after SG]],tblRisk[[#This Row],[Control Maturity]])</f>
        <v>4</v>
      </c>
      <c r="AK121" s="173" t="str">
        <f>IF(tblRisk[[#This Row],[Safeguard Status]]="In Place",tblRisk[[#This Row],[Safeguard Threat Cluster]],tblRisk[[#This Row],[Threat Cluster]])</f>
        <v>Personnel Error</v>
      </c>
      <c r="AL121" s="164">
        <f>IF(tblRisk[[#This Row],[Safeguard Status]]="In Place",tblRisk[[#This Row],[Risk Level With Safeguard in Place]],tblRisk[[#This Row],[Risk Level]])</f>
        <v>4</v>
      </c>
      <c r="AM121" s="165" t="s">
        <v>1887</v>
      </c>
      <c r="AN121" s="165" t="str">
        <f>IF(tblRisk[[#This Row],[Risk Treatment Option]]="Manage",_xlfn.IFNA(INDEX(tblRiskTreatmentPrograms[#Data],MATCH(tblRisk[[#This Row],[Common Security Program]]&amp;tblRisk[[#This Row],[Common Security Control]],tblRiskTreatmentPrograms[Lookup],0),MATCH($AN$3,tblRiskTreatmentPrograms[#Headers],0)),txtBadRTP),"")</f>
        <v/>
      </c>
      <c r="AO121" s="165" t="str">
        <f>IF(tblRisk[[#This Row],[Risk Treatment Program]]="","",INDEX(tblRiskTreatmentPrograms[#Data],MATCH(tblRisk[[#This Row],[Risk Treatment Program]],tblRiskTreatmentPrograms[Risk Treatment Program],0),MATCH($AO$3,tblRiskTreatmentPrograms[#Headers],0)))</f>
        <v/>
      </c>
      <c r="AP121" s="165"/>
      <c r="AQ12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1" s="19" t="str">
        <f>tblRisk[[#This Row],[Threat Cluster]]</f>
        <v>Personnel Error</v>
      </c>
      <c r="AS121" s="156">
        <f>IF(ISBLANK(tblRisk[[#This Row],[Safeguard Threat Cluster]]),"",_xlfn.XLOOKUP(tblRisk[[#This Row],[Safeguard Threat Cluster]],tblHIT[Threat Cluster],tblHIT[Quintile]))</f>
        <v>2</v>
      </c>
      <c r="AT121" s="157">
        <f>_xlfn.SWITCH(tblRisk[[#This Row],[Risk Treatment Option]],"Manage",tblRisk[[#This Row],[Control Maturity]]+1,tblRisk[[#This Row],[Control Maturity]])</f>
        <v>4</v>
      </c>
      <c r="AU12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1" s="166">
        <f>IF(ISERROR(tblRisk[[#This Row],[Likelihood of Control Failure after SG]]),"",VLOOKUP(tblRisk[[#This Row],[Likelihood of Control Failure after SG]],tblLikelihood[#Data],2,FALSE))</f>
        <v>2</v>
      </c>
      <c r="AW121" s="159">
        <f>tblRisk[[#This Row],[Impact to Mission]]</f>
        <v>2</v>
      </c>
      <c r="AX121" s="159">
        <f>tblRisk[[#This Row],[Impact to Objectives]]</f>
        <v>2</v>
      </c>
      <c r="AY121" s="159">
        <f>tblRisk[[#This Row],[Impact to Obligations]]</f>
        <v>2</v>
      </c>
      <c r="AZ121" s="166">
        <f>IF(ISBLANK(tblRisk[[#This Row],[Impact to Mission With Safeguard in Place]]),"",MAX(tblRisk[[#This Row],[Impact to Mission With Safeguard in Place]:[Impact to Obligations With Safeguard in Place]]))</f>
        <v>2</v>
      </c>
      <c r="BA121" s="167">
        <f>IF(ISERROR(tblRisk[[#This Row],[Impact Score with Safeguard in Place]]*tblRisk[[#This Row],[Likelihood Score with Safeguard in Place]]),"",tblRisk[[#This Row],[Impact Score with Safeguard in Place]]*tblRisk[[#This Row],[Likelihood Score with Safeguard in Place]])</f>
        <v>4</v>
      </c>
      <c r="BB121" s="164">
        <f>tblRisk[[#This Row],[Risk Score With Safeguard in Place]]</f>
        <v>4</v>
      </c>
      <c r="BC121" s="168" t="str">
        <f>IF(tblRisk[[#This Row],[Risk Treatment Option]]&lt;&gt;"Accept",IF(_xlfn.XLOOKUP(tblRisk[[#This Row],[Specific Safeguard Recommendation]],ProTrak[Task],ProTrak[Status],"Not Found")="Completed","Pending Validation","Pending"),"")</f>
        <v/>
      </c>
      <c r="BD121" s="169" t="str">
        <f>_xlfn.XLOOKUP(tblRisk[[#This Row],[Risk Treatment Program]],tblRiskTreatmentPrograms[Risk Treatment Program],tblRiskTreatmentPrograms[Estimated End Date (MM/DD/YYYY)],"")</f>
        <v/>
      </c>
      <c r="BE121" s="170"/>
      <c r="BF121" s="171" t="str">
        <f>_xlfn.IFNA(IF(tblRisk[[#This Row],[Due Date]]&lt;=vWhatIfQuarter,"Closed",""),"")</f>
        <v/>
      </c>
      <c r="BG121" s="171">
        <f>IF(tblRisk[[#This Row],[Scenario Builder Status]]="Closed",tblRisk[[#This Row],[Risk Score With Safeguard in Place]],tblRisk[[#This Row],[Risk Score]])</f>
        <v>4</v>
      </c>
      <c r="BH121" s="192" t="str">
        <f>tblRisk[[#This Row],[Common Security Program]]&amp;tblRisk[[#This Row],[Common Security Control]]&amp;tblRisk[[#This Row],[Asset Designation ]]</f>
        <v>Security AwarenessOperationUsers</v>
      </c>
      <c r="BI121" s="191"/>
      <c r="BJ121" s="191"/>
      <c r="BK121" s="191"/>
      <c r="BL121" s="191"/>
      <c r="BM121" s="191" t="s">
        <v>117</v>
      </c>
      <c r="BN121" s="191"/>
      <c r="BO121" s="191" t="s">
        <v>117</v>
      </c>
      <c r="BP121" s="191"/>
      <c r="BQ121" s="191" t="s">
        <v>117</v>
      </c>
    </row>
    <row r="122" spans="1:69" ht="94.5" x14ac:dyDescent="0.65">
      <c r="A122" s="160">
        <v>119</v>
      </c>
      <c r="B122" s="160" t="s">
        <v>899</v>
      </c>
      <c r="C122" s="19" t="s">
        <v>1041</v>
      </c>
      <c r="D122" s="28" t="s">
        <v>1240</v>
      </c>
      <c r="E122" s="207" t="s">
        <v>1089</v>
      </c>
      <c r="F122" s="194" t="s">
        <v>117</v>
      </c>
      <c r="G122" s="194" t="s">
        <v>117</v>
      </c>
      <c r="H122" s="194" t="s">
        <v>117</v>
      </c>
      <c r="I122" s="194" t="s">
        <v>1080</v>
      </c>
      <c r="J122" s="194" t="s">
        <v>1080</v>
      </c>
      <c r="K122" s="194" t="s">
        <v>1080</v>
      </c>
      <c r="L122" s="194" t="s">
        <v>1080</v>
      </c>
      <c r="M122" s="194" t="s">
        <v>1080</v>
      </c>
      <c r="N122" s="194">
        <f>COUNTIF(tblRisk[[#This Row],[Defends Against Malware]:[Defends Against Targeted Intrusions]],"Yes")</f>
        <v>0</v>
      </c>
      <c r="O122" s="160" t="s">
        <v>12</v>
      </c>
      <c r="P122" s="160" t="s">
        <v>86</v>
      </c>
      <c r="Q122" s="160" t="s">
        <v>33</v>
      </c>
      <c r="R122" s="160" t="s">
        <v>1084</v>
      </c>
      <c r="S122" s="160" t="s">
        <v>1087</v>
      </c>
      <c r="T122" s="160" t="s">
        <v>1390</v>
      </c>
      <c r="U122" s="160" t="s">
        <v>1391</v>
      </c>
      <c r="V122" s="160" t="s">
        <v>1679</v>
      </c>
      <c r="W122" s="160" t="s">
        <v>1709</v>
      </c>
      <c r="X122" s="160" t="s">
        <v>1842</v>
      </c>
      <c r="Y122" s="151">
        <f>IF(ISBLANK(tblRisk[[#This Row],[Threat Cluster]]),"",_xlfn.XLOOKUP(tblRisk[[#This Row],[Threat Cluster]],tblHIT[Threat Cluster],tblHIT[Quintile]))</f>
        <v>2</v>
      </c>
      <c r="Z122" s="152">
        <v>4</v>
      </c>
      <c r="AA122" s="153" t="str">
        <f>IF(OR(ISBLANK(tblRisk[[#This Row],[HIT Quintile]]),ISBLANK(tblRisk[[#This Row],[Control Maturity]])),"",_xlfn.XLOOKUP(tblRisk[[#This Row],[Control Maturity]] &amp; tblRisk[[#This Row],[HIT Quintile]],tblHITWDI[Lookup],tblHITWDI[Likelihood Description]))</f>
        <v>Foreseeable, not expected</v>
      </c>
      <c r="AB122" s="161">
        <f>IF(ISERROR(tblRisk[[#This Row],[Likelihood of Control Failure]]),"",VLOOKUP(tblRisk[[#This Row],[Likelihood of Control Failure]],tblLikelihood[],2,FALSE))</f>
        <v>2</v>
      </c>
      <c r="AC122" s="154">
        <v>2</v>
      </c>
      <c r="AD122" s="155">
        <v>3</v>
      </c>
      <c r="AE122" s="155">
        <v>3</v>
      </c>
      <c r="AF122" s="162">
        <f>IF(ISBLANK(tblRisk[[#This Row],[Impact to Mission]]),"",MAX(tblRisk[[#This Row],[Impact to Mission]:[Impact to Obligations]]))</f>
        <v>3</v>
      </c>
      <c r="AG122" s="163">
        <f>IF(ISERROR(tblRisk[[#This Row],[Impact Score]]*tblRisk[[#This Row],[Likelihood Score]]),"",tblRisk[[#This Row],[Likelihood Score]]*tblRisk[[#This Row],[Impact Score]])</f>
        <v>6</v>
      </c>
      <c r="AH122" s="163">
        <f>tblRisk[[#This Row],[Risk Score]]</f>
        <v>6</v>
      </c>
      <c r="AI122" s="164">
        <f t="shared" si="3"/>
        <v>9</v>
      </c>
      <c r="AJ122" s="164">
        <f>IF(tblRisk[[#This Row],[Safeguard Status]]="In Place",tblRisk[[#This Row],[Control Maturity after SG]],tblRisk[[#This Row],[Control Maturity]])</f>
        <v>4</v>
      </c>
      <c r="AK122" s="173" t="str">
        <f>IF(tblRisk[[#This Row],[Safeguard Status]]="In Place",tblRisk[[#This Row],[Safeguard Threat Cluster]],tblRisk[[#This Row],[Threat Cluster]])</f>
        <v>Personnel Error</v>
      </c>
      <c r="AL122" s="164">
        <f>IF(tblRisk[[#This Row],[Safeguard Status]]="In Place",tblRisk[[#This Row],[Risk Level With Safeguard in Place]],tblRisk[[#This Row],[Risk Level]])</f>
        <v>6</v>
      </c>
      <c r="AM122" s="165" t="s">
        <v>1887</v>
      </c>
      <c r="AN122" s="165" t="str">
        <f>IF(tblRisk[[#This Row],[Risk Treatment Option]]="Manage",_xlfn.IFNA(INDEX(tblRiskTreatmentPrograms[#Data],MATCH(tblRisk[[#This Row],[Common Security Program]]&amp;tblRisk[[#This Row],[Common Security Control]],tblRiskTreatmentPrograms[Lookup],0),MATCH($AN$3,tblRiskTreatmentPrograms[#Headers],0)),txtBadRTP),"")</f>
        <v/>
      </c>
      <c r="AO122" s="165" t="str">
        <f>IF(tblRisk[[#This Row],[Risk Treatment Program]]="","",INDEX(tblRiskTreatmentPrograms[#Data],MATCH(tblRisk[[#This Row],[Risk Treatment Program]],tblRiskTreatmentPrograms[Risk Treatment Program],0),MATCH($AO$3,tblRiskTreatmentPrograms[#Headers],0)))</f>
        <v/>
      </c>
      <c r="AP122" s="165"/>
      <c r="AQ12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2" s="19" t="str">
        <f>tblRisk[[#This Row],[Threat Cluster]]</f>
        <v>Personnel Error</v>
      </c>
      <c r="AS122" s="156">
        <f>IF(ISBLANK(tblRisk[[#This Row],[Safeguard Threat Cluster]]),"",_xlfn.XLOOKUP(tblRisk[[#This Row],[Safeguard Threat Cluster]],tblHIT[Threat Cluster],tblHIT[Quintile]))</f>
        <v>2</v>
      </c>
      <c r="AT122" s="157">
        <f>_xlfn.SWITCH(tblRisk[[#This Row],[Risk Treatment Option]],"Manage",tblRisk[[#This Row],[Control Maturity]]+1,tblRisk[[#This Row],[Control Maturity]])</f>
        <v>4</v>
      </c>
      <c r="AU12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2" s="166">
        <f>IF(ISERROR(tblRisk[[#This Row],[Likelihood of Control Failure after SG]]),"",VLOOKUP(tblRisk[[#This Row],[Likelihood of Control Failure after SG]],tblLikelihood[#Data],2,FALSE))</f>
        <v>2</v>
      </c>
      <c r="AW122" s="159">
        <f>tblRisk[[#This Row],[Impact to Mission]]</f>
        <v>2</v>
      </c>
      <c r="AX122" s="159">
        <f>tblRisk[[#This Row],[Impact to Objectives]]</f>
        <v>3</v>
      </c>
      <c r="AY122" s="159">
        <f>tblRisk[[#This Row],[Impact to Obligations]]</f>
        <v>3</v>
      </c>
      <c r="AZ122" s="166">
        <f>IF(ISBLANK(tblRisk[[#This Row],[Impact to Mission With Safeguard in Place]]),"",MAX(tblRisk[[#This Row],[Impact to Mission With Safeguard in Place]:[Impact to Obligations With Safeguard in Place]]))</f>
        <v>3</v>
      </c>
      <c r="BA122" s="167">
        <f>IF(ISERROR(tblRisk[[#This Row],[Impact Score with Safeguard in Place]]*tblRisk[[#This Row],[Likelihood Score with Safeguard in Place]]),"",tblRisk[[#This Row],[Impact Score with Safeguard in Place]]*tblRisk[[#This Row],[Likelihood Score with Safeguard in Place]])</f>
        <v>6</v>
      </c>
      <c r="BB122" s="164">
        <f>tblRisk[[#This Row],[Risk Score With Safeguard in Place]]</f>
        <v>6</v>
      </c>
      <c r="BC122" s="168" t="str">
        <f>IF(tblRisk[[#This Row],[Risk Treatment Option]]&lt;&gt;"Accept",IF(_xlfn.XLOOKUP(tblRisk[[#This Row],[Specific Safeguard Recommendation]],ProTrak[Task],ProTrak[Status],"Not Found")="Completed","Pending Validation","Pending"),"")</f>
        <v/>
      </c>
      <c r="BD122" s="169" t="str">
        <f>_xlfn.XLOOKUP(tblRisk[[#This Row],[Risk Treatment Program]],tblRiskTreatmentPrograms[Risk Treatment Program],tblRiskTreatmentPrograms[Estimated End Date (MM/DD/YYYY)],"")</f>
        <v/>
      </c>
      <c r="BE122" s="170"/>
      <c r="BF122" s="171" t="str">
        <f>_xlfn.IFNA(IF(tblRisk[[#This Row],[Due Date]]&lt;=vWhatIfQuarter,"Closed",""),"")</f>
        <v/>
      </c>
      <c r="BG122" s="171">
        <f>IF(tblRisk[[#This Row],[Scenario Builder Status]]="Closed",tblRisk[[#This Row],[Risk Score With Safeguard in Place]],tblRisk[[#This Row],[Risk Score]])</f>
        <v>6</v>
      </c>
      <c r="BH122" s="192" t="str">
        <f>tblRisk[[#This Row],[Common Security Program]]&amp;tblRisk[[#This Row],[Common Security Control]]&amp;tblRisk[[#This Row],[Asset Designation ]]</f>
        <v>Third Party SecurityGovernanceData</v>
      </c>
      <c r="BI122" s="191"/>
      <c r="BJ122" s="191"/>
      <c r="BK122" s="191"/>
      <c r="BL122" s="191"/>
      <c r="BM122" s="191"/>
      <c r="BN122" s="191"/>
      <c r="BO122" s="191"/>
      <c r="BP122" s="191"/>
      <c r="BQ122" s="191"/>
    </row>
    <row r="123" spans="1:69" ht="157.5" x14ac:dyDescent="0.65">
      <c r="A123" s="160">
        <v>120</v>
      </c>
      <c r="B123" s="160" t="s">
        <v>899</v>
      </c>
      <c r="C123" s="19" t="s">
        <v>1042</v>
      </c>
      <c r="D123" s="28" t="s">
        <v>1241</v>
      </c>
      <c r="E123" s="207" t="s">
        <v>1089</v>
      </c>
      <c r="F123" s="194"/>
      <c r="G123" s="194" t="s">
        <v>117</v>
      </c>
      <c r="H123" s="194" t="s">
        <v>117</v>
      </c>
      <c r="I123" s="194" t="s">
        <v>1080</v>
      </c>
      <c r="J123" s="194" t="s">
        <v>1080</v>
      </c>
      <c r="K123" s="194" t="s">
        <v>1080</v>
      </c>
      <c r="L123" s="194" t="s">
        <v>1080</v>
      </c>
      <c r="M123" s="194" t="s">
        <v>1080</v>
      </c>
      <c r="N123" s="194">
        <f>COUNTIF(tblRisk[[#This Row],[Defends Against Malware]:[Defends Against Targeted Intrusions]],"Yes")</f>
        <v>0</v>
      </c>
      <c r="O123" s="160" t="s">
        <v>12</v>
      </c>
      <c r="P123" s="160" t="s">
        <v>86</v>
      </c>
      <c r="Q123" s="160" t="s">
        <v>33</v>
      </c>
      <c r="R123" s="160" t="s">
        <v>1084</v>
      </c>
      <c r="S123" s="160" t="s">
        <v>1087</v>
      </c>
      <c r="T123" s="160" t="s">
        <v>1390</v>
      </c>
      <c r="U123" s="160" t="s">
        <v>1391</v>
      </c>
      <c r="V123" s="19" t="s">
        <v>1911</v>
      </c>
      <c r="W123" s="160" t="s">
        <v>1709</v>
      </c>
      <c r="X123" s="160" t="s">
        <v>1843</v>
      </c>
      <c r="Y123" s="151">
        <f>IF(ISBLANK(tblRisk[[#This Row],[Threat Cluster]]),"",_xlfn.XLOOKUP(tblRisk[[#This Row],[Threat Cluster]],tblHIT[Threat Cluster],tblHIT[Quintile]))</f>
        <v>2</v>
      </c>
      <c r="Z123" s="152">
        <v>4</v>
      </c>
      <c r="AA123" s="153" t="str">
        <f>IF(OR(ISBLANK(tblRisk[[#This Row],[HIT Quintile]]),ISBLANK(tblRisk[[#This Row],[Control Maturity]])),"",_xlfn.XLOOKUP(tblRisk[[#This Row],[Control Maturity]] &amp; tblRisk[[#This Row],[HIT Quintile]],tblHITWDI[Lookup],tblHITWDI[Likelihood Description]))</f>
        <v>Foreseeable, not expected</v>
      </c>
      <c r="AB123" s="161">
        <f>IF(ISERROR(tblRisk[[#This Row],[Likelihood of Control Failure]]),"",VLOOKUP(tblRisk[[#This Row],[Likelihood of Control Failure]],tblLikelihood[],2,FALSE))</f>
        <v>2</v>
      </c>
      <c r="AC123" s="154">
        <v>2</v>
      </c>
      <c r="AD123" s="155">
        <v>3</v>
      </c>
      <c r="AE123" s="155">
        <v>3</v>
      </c>
      <c r="AF123" s="162">
        <f>IF(ISBLANK(tblRisk[[#This Row],[Impact to Mission]]),"",MAX(tblRisk[[#This Row],[Impact to Mission]:[Impact to Obligations]]))</f>
        <v>3</v>
      </c>
      <c r="AG123" s="163">
        <f>IF(ISERROR(tblRisk[[#This Row],[Impact Score]]*tblRisk[[#This Row],[Likelihood Score]]),"",tblRisk[[#This Row],[Likelihood Score]]*tblRisk[[#This Row],[Impact Score]])</f>
        <v>6</v>
      </c>
      <c r="AH123" s="163">
        <f>tblRisk[[#This Row],[Risk Score]]</f>
        <v>6</v>
      </c>
      <c r="AI123" s="164">
        <f t="shared" si="3"/>
        <v>9</v>
      </c>
      <c r="AJ123" s="164">
        <f>IF(tblRisk[[#This Row],[Safeguard Status]]="In Place",tblRisk[[#This Row],[Control Maturity after SG]],tblRisk[[#This Row],[Control Maturity]])</f>
        <v>4</v>
      </c>
      <c r="AK123" s="173" t="str">
        <f>IF(tblRisk[[#This Row],[Safeguard Status]]="In Place",tblRisk[[#This Row],[Safeguard Threat Cluster]],tblRisk[[#This Row],[Threat Cluster]])</f>
        <v>Personnel Error</v>
      </c>
      <c r="AL123" s="164">
        <f>IF(tblRisk[[#This Row],[Safeguard Status]]="In Place",tblRisk[[#This Row],[Risk Level With Safeguard in Place]],tblRisk[[#This Row],[Risk Level]])</f>
        <v>6</v>
      </c>
      <c r="AM123" s="165" t="s">
        <v>1887</v>
      </c>
      <c r="AN123" s="165" t="str">
        <f>IF(tblRisk[[#This Row],[Risk Treatment Option]]="Manage",_xlfn.IFNA(INDEX(tblRiskTreatmentPrograms[#Data],MATCH(tblRisk[[#This Row],[Common Security Program]]&amp;tblRisk[[#This Row],[Common Security Control]],tblRiskTreatmentPrograms[Lookup],0),MATCH($AN$3,tblRiskTreatmentPrograms[#Headers],0)),txtBadRTP),"")</f>
        <v/>
      </c>
      <c r="AO123" s="165" t="str">
        <f>IF(tblRisk[[#This Row],[Risk Treatment Program]]="","",INDEX(tblRiskTreatmentPrograms[#Data],MATCH(tblRisk[[#This Row],[Risk Treatment Program]],tblRiskTreatmentPrograms[Risk Treatment Program],0),MATCH($AO$3,tblRiskTreatmentPrograms[#Headers],0)))</f>
        <v/>
      </c>
      <c r="AP123" s="165"/>
      <c r="AQ12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3" s="19" t="str">
        <f>tblRisk[[#This Row],[Threat Cluster]]</f>
        <v>Personnel Error</v>
      </c>
      <c r="AS123" s="156">
        <f>IF(ISBLANK(tblRisk[[#This Row],[Safeguard Threat Cluster]]),"",_xlfn.XLOOKUP(tblRisk[[#This Row],[Safeguard Threat Cluster]],tblHIT[Threat Cluster],tblHIT[Quintile]))</f>
        <v>2</v>
      </c>
      <c r="AT123" s="157">
        <f>_xlfn.SWITCH(tblRisk[[#This Row],[Risk Treatment Option]],"Manage",tblRisk[[#This Row],[Control Maturity]]+1,tblRisk[[#This Row],[Control Maturity]])</f>
        <v>4</v>
      </c>
      <c r="AU12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3" s="166">
        <f>IF(ISERROR(tblRisk[[#This Row],[Likelihood of Control Failure after SG]]),"",VLOOKUP(tblRisk[[#This Row],[Likelihood of Control Failure after SG]],tblLikelihood[#Data],2,FALSE))</f>
        <v>2</v>
      </c>
      <c r="AW123" s="159">
        <f>tblRisk[[#This Row],[Impact to Mission]]</f>
        <v>2</v>
      </c>
      <c r="AX123" s="159">
        <f>tblRisk[[#This Row],[Impact to Objectives]]</f>
        <v>3</v>
      </c>
      <c r="AY123" s="159">
        <f>tblRisk[[#This Row],[Impact to Obligations]]</f>
        <v>3</v>
      </c>
      <c r="AZ123" s="166">
        <f>IF(ISBLANK(tblRisk[[#This Row],[Impact to Mission With Safeguard in Place]]),"",MAX(tblRisk[[#This Row],[Impact to Mission With Safeguard in Place]:[Impact to Obligations With Safeguard in Place]]))</f>
        <v>3</v>
      </c>
      <c r="BA123" s="167">
        <f>IF(ISERROR(tblRisk[[#This Row],[Impact Score with Safeguard in Place]]*tblRisk[[#This Row],[Likelihood Score with Safeguard in Place]]),"",tblRisk[[#This Row],[Impact Score with Safeguard in Place]]*tblRisk[[#This Row],[Likelihood Score with Safeguard in Place]])</f>
        <v>6</v>
      </c>
      <c r="BB123" s="164">
        <f>tblRisk[[#This Row],[Risk Score With Safeguard in Place]]</f>
        <v>6</v>
      </c>
      <c r="BC123" s="168" t="str">
        <f>IF(tblRisk[[#This Row],[Risk Treatment Option]]&lt;&gt;"Accept",IF(_xlfn.XLOOKUP(tblRisk[[#This Row],[Specific Safeguard Recommendation]],ProTrak[Task],ProTrak[Status],"Not Found")="Completed","Pending Validation","Pending"),"")</f>
        <v/>
      </c>
      <c r="BD123" s="169" t="str">
        <f>_xlfn.XLOOKUP(tblRisk[[#This Row],[Risk Treatment Program]],tblRiskTreatmentPrograms[Risk Treatment Program],tblRiskTreatmentPrograms[Estimated End Date (MM/DD/YYYY)],"")</f>
        <v/>
      </c>
      <c r="BE123" s="170"/>
      <c r="BF123" s="171" t="str">
        <f>_xlfn.IFNA(IF(tblRisk[[#This Row],[Due Date]]&lt;=vWhatIfQuarter,"Closed",""),"")</f>
        <v/>
      </c>
      <c r="BG123" s="171">
        <f>IF(tblRisk[[#This Row],[Scenario Builder Status]]="Closed",tblRisk[[#This Row],[Risk Score With Safeguard in Place]],tblRisk[[#This Row],[Risk Score]])</f>
        <v>6</v>
      </c>
      <c r="BH123" s="192" t="str">
        <f>tblRisk[[#This Row],[Common Security Program]]&amp;tblRisk[[#This Row],[Common Security Control]]&amp;tblRisk[[#This Row],[Asset Designation ]]</f>
        <v>Third Party SecurityGovernanceData</v>
      </c>
      <c r="BI123" s="191"/>
      <c r="BJ123" s="191"/>
      <c r="BK123" s="191"/>
      <c r="BL123" s="191"/>
      <c r="BM123" s="191"/>
      <c r="BN123" s="191"/>
      <c r="BO123" s="191"/>
      <c r="BP123" s="191"/>
      <c r="BQ123" s="191"/>
    </row>
    <row r="124" spans="1:69" ht="94.5" x14ac:dyDescent="0.65">
      <c r="A124" s="160">
        <v>121</v>
      </c>
      <c r="B124" s="160" t="s">
        <v>899</v>
      </c>
      <c r="C124" s="19" t="s">
        <v>993</v>
      </c>
      <c r="D124" s="28" t="s">
        <v>1242</v>
      </c>
      <c r="E124" s="207" t="s">
        <v>1089</v>
      </c>
      <c r="F124" s="194"/>
      <c r="G124" s="194" t="s">
        <v>117</v>
      </c>
      <c r="H124" s="194" t="s">
        <v>117</v>
      </c>
      <c r="I124" s="194" t="s">
        <v>1080</v>
      </c>
      <c r="J124" s="194" t="s">
        <v>1080</v>
      </c>
      <c r="K124" s="194" t="s">
        <v>1080</v>
      </c>
      <c r="L124" s="194" t="s">
        <v>1080</v>
      </c>
      <c r="M124" s="194" t="s">
        <v>1080</v>
      </c>
      <c r="N124" s="194">
        <f>COUNTIF(tblRisk[[#This Row],[Defends Against Malware]:[Defends Against Targeted Intrusions]],"Yes")</f>
        <v>0</v>
      </c>
      <c r="O124" s="160" t="s">
        <v>12</v>
      </c>
      <c r="P124" s="160" t="s">
        <v>88</v>
      </c>
      <c r="Q124" s="160" t="s">
        <v>33</v>
      </c>
      <c r="R124" s="160" t="s">
        <v>1084</v>
      </c>
      <c r="S124" s="160" t="s">
        <v>1394</v>
      </c>
      <c r="T124" s="160" t="s">
        <v>1392</v>
      </c>
      <c r="U124" s="160" t="s">
        <v>1393</v>
      </c>
      <c r="V124" s="160" t="s">
        <v>1680</v>
      </c>
      <c r="W124" s="160" t="s">
        <v>1709</v>
      </c>
      <c r="X124" s="160" t="s">
        <v>1844</v>
      </c>
      <c r="Y124" s="151">
        <f>IF(ISBLANK(tblRisk[[#This Row],[Threat Cluster]]),"",_xlfn.XLOOKUP(tblRisk[[#This Row],[Threat Cluster]],tblHIT[Threat Cluster],tblHIT[Quintile]))</f>
        <v>2</v>
      </c>
      <c r="Z124" s="152">
        <v>4</v>
      </c>
      <c r="AA124" s="153" t="str">
        <f>IF(OR(ISBLANK(tblRisk[[#This Row],[HIT Quintile]]),ISBLANK(tblRisk[[#This Row],[Control Maturity]])),"",_xlfn.XLOOKUP(tblRisk[[#This Row],[Control Maturity]] &amp; tblRisk[[#This Row],[HIT Quintile]],tblHITWDI[Lookup],tblHITWDI[Likelihood Description]))</f>
        <v>Foreseeable, not expected</v>
      </c>
      <c r="AB124" s="161">
        <f>IF(ISERROR(tblRisk[[#This Row],[Likelihood of Control Failure]]),"",VLOOKUP(tblRisk[[#This Row],[Likelihood of Control Failure]],tblLikelihood[],2,FALSE))</f>
        <v>2</v>
      </c>
      <c r="AC124" s="154">
        <v>2</v>
      </c>
      <c r="AD124" s="155">
        <v>3</v>
      </c>
      <c r="AE124" s="155">
        <v>3</v>
      </c>
      <c r="AF124" s="162">
        <f>IF(ISBLANK(tblRisk[[#This Row],[Impact to Mission]]),"",MAX(tblRisk[[#This Row],[Impact to Mission]:[Impact to Obligations]]))</f>
        <v>3</v>
      </c>
      <c r="AG124" s="163">
        <f>IF(ISERROR(tblRisk[[#This Row],[Impact Score]]*tblRisk[[#This Row],[Likelihood Score]]),"",tblRisk[[#This Row],[Likelihood Score]]*tblRisk[[#This Row],[Impact Score]])</f>
        <v>6</v>
      </c>
      <c r="AH124" s="163">
        <f>tblRisk[[#This Row],[Risk Score]]</f>
        <v>6</v>
      </c>
      <c r="AI124" s="164">
        <f t="shared" si="3"/>
        <v>9</v>
      </c>
      <c r="AJ124" s="164">
        <f>IF(tblRisk[[#This Row],[Safeguard Status]]="In Place",tblRisk[[#This Row],[Control Maturity after SG]],tblRisk[[#This Row],[Control Maturity]])</f>
        <v>4</v>
      </c>
      <c r="AK124" s="173" t="str">
        <f>IF(tblRisk[[#This Row],[Safeguard Status]]="In Place",tblRisk[[#This Row],[Safeguard Threat Cluster]],tblRisk[[#This Row],[Threat Cluster]])</f>
        <v>Personnel Error</v>
      </c>
      <c r="AL124" s="164">
        <f>IF(tblRisk[[#This Row],[Safeguard Status]]="In Place",tblRisk[[#This Row],[Risk Level With Safeguard in Place]],tblRisk[[#This Row],[Risk Level]])</f>
        <v>6</v>
      </c>
      <c r="AM124" s="165" t="s">
        <v>1887</v>
      </c>
      <c r="AN124" s="165" t="str">
        <f>IF(tblRisk[[#This Row],[Risk Treatment Option]]="Manage",_xlfn.IFNA(INDEX(tblRiskTreatmentPrograms[#Data],MATCH(tblRisk[[#This Row],[Common Security Program]]&amp;tblRisk[[#This Row],[Common Security Control]],tblRiskTreatmentPrograms[Lookup],0),MATCH($AN$3,tblRiskTreatmentPrograms[#Headers],0)),txtBadRTP),"")</f>
        <v/>
      </c>
      <c r="AO124" s="165" t="str">
        <f>IF(tblRisk[[#This Row],[Risk Treatment Program]]="","",INDEX(tblRiskTreatmentPrograms[#Data],MATCH(tblRisk[[#This Row],[Risk Treatment Program]],tblRiskTreatmentPrograms[Risk Treatment Program],0),MATCH($AO$3,tblRiskTreatmentPrograms[#Headers],0)))</f>
        <v/>
      </c>
      <c r="AP124" s="165"/>
      <c r="AQ12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4" s="19" t="str">
        <f>tblRisk[[#This Row],[Threat Cluster]]</f>
        <v>Personnel Error</v>
      </c>
      <c r="AS124" s="156">
        <f>IF(ISBLANK(tblRisk[[#This Row],[Safeguard Threat Cluster]]),"",_xlfn.XLOOKUP(tblRisk[[#This Row],[Safeguard Threat Cluster]],tblHIT[Threat Cluster],tblHIT[Quintile]))</f>
        <v>2</v>
      </c>
      <c r="AT124" s="157">
        <f>_xlfn.SWITCH(tblRisk[[#This Row],[Risk Treatment Option]],"Manage",tblRisk[[#This Row],[Control Maturity]]+1,tblRisk[[#This Row],[Control Maturity]])</f>
        <v>4</v>
      </c>
      <c r="AU12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4" s="166">
        <f>IF(ISERROR(tblRisk[[#This Row],[Likelihood of Control Failure after SG]]),"",VLOOKUP(tblRisk[[#This Row],[Likelihood of Control Failure after SG]],tblLikelihood[#Data],2,FALSE))</f>
        <v>2</v>
      </c>
      <c r="AW124" s="159">
        <f>tblRisk[[#This Row],[Impact to Mission]]</f>
        <v>2</v>
      </c>
      <c r="AX124" s="159">
        <f>tblRisk[[#This Row],[Impact to Objectives]]</f>
        <v>3</v>
      </c>
      <c r="AY124" s="159">
        <f>tblRisk[[#This Row],[Impact to Obligations]]</f>
        <v>3</v>
      </c>
      <c r="AZ124" s="166">
        <f>IF(ISBLANK(tblRisk[[#This Row],[Impact to Mission With Safeguard in Place]]),"",MAX(tblRisk[[#This Row],[Impact to Mission With Safeguard in Place]:[Impact to Obligations With Safeguard in Place]]))</f>
        <v>3</v>
      </c>
      <c r="BA124" s="167">
        <f>IF(ISERROR(tblRisk[[#This Row],[Impact Score with Safeguard in Place]]*tblRisk[[#This Row],[Likelihood Score with Safeguard in Place]]),"",tblRisk[[#This Row],[Impact Score with Safeguard in Place]]*tblRisk[[#This Row],[Likelihood Score with Safeguard in Place]])</f>
        <v>6</v>
      </c>
      <c r="BB124" s="164">
        <f>tblRisk[[#This Row],[Risk Score With Safeguard in Place]]</f>
        <v>6</v>
      </c>
      <c r="BC124" s="168" t="str">
        <f>IF(tblRisk[[#This Row],[Risk Treatment Option]]&lt;&gt;"Accept",IF(_xlfn.XLOOKUP(tblRisk[[#This Row],[Specific Safeguard Recommendation]],ProTrak[Task],ProTrak[Status],"Not Found")="Completed","Pending Validation","Pending"),"")</f>
        <v/>
      </c>
      <c r="BD124" s="169" t="str">
        <f>_xlfn.XLOOKUP(tblRisk[[#This Row],[Risk Treatment Program]],tblRiskTreatmentPrograms[Risk Treatment Program],tblRiskTreatmentPrograms[Estimated End Date (MM/DD/YYYY)],"")</f>
        <v/>
      </c>
      <c r="BE124" s="170"/>
      <c r="BF124" s="171" t="str">
        <f>_xlfn.IFNA(IF(tblRisk[[#This Row],[Due Date]]&lt;=vWhatIfQuarter,"Closed",""),"")</f>
        <v/>
      </c>
      <c r="BG124" s="171">
        <f>IF(tblRisk[[#This Row],[Scenario Builder Status]]="Closed",tblRisk[[#This Row],[Risk Score With Safeguard in Place]],tblRisk[[#This Row],[Risk Score]])</f>
        <v>6</v>
      </c>
      <c r="BH124" s="192" t="str">
        <f>tblRisk[[#This Row],[Common Security Program]]&amp;tblRisk[[#This Row],[Common Security Control]]&amp;tblRisk[[#This Row],[Asset Designation ]]</f>
        <v>Third Party SecurityOperationData</v>
      </c>
      <c r="BI124" s="191"/>
      <c r="BJ124" s="191"/>
      <c r="BK124" s="191"/>
      <c r="BL124" s="191"/>
      <c r="BM124" s="191"/>
      <c r="BN124" s="191"/>
      <c r="BO124" s="191"/>
      <c r="BP124" s="191"/>
      <c r="BQ124" s="191"/>
    </row>
    <row r="125" spans="1:69" ht="94.5" x14ac:dyDescent="0.65">
      <c r="A125" s="160">
        <v>122</v>
      </c>
      <c r="B125" s="160" t="s">
        <v>899</v>
      </c>
      <c r="C125" s="19" t="s">
        <v>994</v>
      </c>
      <c r="D125" s="28" t="s">
        <v>1243</v>
      </c>
      <c r="E125" s="207" t="s">
        <v>1092</v>
      </c>
      <c r="F125" s="194"/>
      <c r="G125" s="194" t="s">
        <v>117</v>
      </c>
      <c r="H125" s="194" t="s">
        <v>117</v>
      </c>
      <c r="I125" s="194" t="s">
        <v>1080</v>
      </c>
      <c r="J125" s="194" t="s">
        <v>1080</v>
      </c>
      <c r="K125" s="194" t="s">
        <v>1080</v>
      </c>
      <c r="L125" s="194" t="s">
        <v>1080</v>
      </c>
      <c r="M125" s="194" t="s">
        <v>1080</v>
      </c>
      <c r="N125" s="194">
        <f>COUNTIF(tblRisk[[#This Row],[Defends Against Malware]:[Defends Against Targeted Intrusions]],"Yes")</f>
        <v>0</v>
      </c>
      <c r="O125" s="160" t="s">
        <v>12</v>
      </c>
      <c r="P125" s="160" t="s">
        <v>88</v>
      </c>
      <c r="Q125" s="160" t="s">
        <v>33</v>
      </c>
      <c r="R125" s="160" t="s">
        <v>1084</v>
      </c>
      <c r="S125" s="160" t="s">
        <v>1394</v>
      </c>
      <c r="T125" s="160" t="s">
        <v>1392</v>
      </c>
      <c r="U125" s="160" t="s">
        <v>1393</v>
      </c>
      <c r="V125" s="160" t="s">
        <v>1681</v>
      </c>
      <c r="W125" s="160" t="s">
        <v>1709</v>
      </c>
      <c r="X125" s="160" t="s">
        <v>1845</v>
      </c>
      <c r="Y125" s="151">
        <f>IF(ISBLANK(tblRisk[[#This Row],[Threat Cluster]]),"",_xlfn.XLOOKUP(tblRisk[[#This Row],[Threat Cluster]],tblHIT[Threat Cluster],tblHIT[Quintile]))</f>
        <v>2</v>
      </c>
      <c r="Z125" s="152">
        <v>4</v>
      </c>
      <c r="AA125" s="153" t="str">
        <f>IF(OR(ISBLANK(tblRisk[[#This Row],[HIT Quintile]]),ISBLANK(tblRisk[[#This Row],[Control Maturity]])),"",_xlfn.XLOOKUP(tblRisk[[#This Row],[Control Maturity]] &amp; tblRisk[[#This Row],[HIT Quintile]],tblHITWDI[Lookup],tblHITWDI[Likelihood Description]))</f>
        <v>Foreseeable, not expected</v>
      </c>
      <c r="AB125" s="161">
        <f>IF(ISERROR(tblRisk[[#This Row],[Likelihood of Control Failure]]),"",VLOOKUP(tblRisk[[#This Row],[Likelihood of Control Failure]],tblLikelihood[],2,FALSE))</f>
        <v>2</v>
      </c>
      <c r="AC125" s="154">
        <v>2</v>
      </c>
      <c r="AD125" s="155">
        <v>3</v>
      </c>
      <c r="AE125" s="155">
        <v>3</v>
      </c>
      <c r="AF125" s="162">
        <f>IF(ISBLANK(tblRisk[[#This Row],[Impact to Mission]]),"",MAX(tblRisk[[#This Row],[Impact to Mission]:[Impact to Obligations]]))</f>
        <v>3</v>
      </c>
      <c r="AG125" s="163">
        <f>IF(ISERROR(tblRisk[[#This Row],[Impact Score]]*tblRisk[[#This Row],[Likelihood Score]]),"",tblRisk[[#This Row],[Likelihood Score]]*tblRisk[[#This Row],[Impact Score]])</f>
        <v>6</v>
      </c>
      <c r="AH125" s="163">
        <f>tblRisk[[#This Row],[Risk Score]]</f>
        <v>6</v>
      </c>
      <c r="AI125" s="164">
        <f t="shared" si="3"/>
        <v>9</v>
      </c>
      <c r="AJ125" s="164">
        <f>IF(tblRisk[[#This Row],[Safeguard Status]]="In Place",tblRisk[[#This Row],[Control Maturity after SG]],tblRisk[[#This Row],[Control Maturity]])</f>
        <v>4</v>
      </c>
      <c r="AK125" s="173" t="str">
        <f>IF(tblRisk[[#This Row],[Safeguard Status]]="In Place",tblRisk[[#This Row],[Safeguard Threat Cluster]],tblRisk[[#This Row],[Threat Cluster]])</f>
        <v>Personnel Error</v>
      </c>
      <c r="AL125" s="164">
        <f>IF(tblRisk[[#This Row],[Safeguard Status]]="In Place",tblRisk[[#This Row],[Risk Level With Safeguard in Place]],tblRisk[[#This Row],[Risk Level]])</f>
        <v>6</v>
      </c>
      <c r="AM125" s="165" t="s">
        <v>1887</v>
      </c>
      <c r="AN125" s="165" t="str">
        <f>IF(tblRisk[[#This Row],[Risk Treatment Option]]="Manage",_xlfn.IFNA(INDEX(tblRiskTreatmentPrograms[#Data],MATCH(tblRisk[[#This Row],[Common Security Program]]&amp;tblRisk[[#This Row],[Common Security Control]],tblRiskTreatmentPrograms[Lookup],0),MATCH($AN$3,tblRiskTreatmentPrograms[#Headers],0)),txtBadRTP),"")</f>
        <v/>
      </c>
      <c r="AO125" s="165" t="str">
        <f>IF(tblRisk[[#This Row],[Risk Treatment Program]]="","",INDEX(tblRiskTreatmentPrograms[#Data],MATCH(tblRisk[[#This Row],[Risk Treatment Program]],tblRiskTreatmentPrograms[Risk Treatment Program],0),MATCH($AO$3,tblRiskTreatmentPrograms[#Headers],0)))</f>
        <v/>
      </c>
      <c r="AP125" s="165"/>
      <c r="AQ12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5" s="19" t="str">
        <f>tblRisk[[#This Row],[Threat Cluster]]</f>
        <v>Personnel Error</v>
      </c>
      <c r="AS125" s="156">
        <f>IF(ISBLANK(tblRisk[[#This Row],[Safeguard Threat Cluster]]),"",_xlfn.XLOOKUP(tblRisk[[#This Row],[Safeguard Threat Cluster]],tblHIT[Threat Cluster],tblHIT[Quintile]))</f>
        <v>2</v>
      </c>
      <c r="AT125" s="157">
        <f>_xlfn.SWITCH(tblRisk[[#This Row],[Risk Treatment Option]],"Manage",tblRisk[[#This Row],[Control Maturity]]+1,tblRisk[[#This Row],[Control Maturity]])</f>
        <v>4</v>
      </c>
      <c r="AU12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5" s="166">
        <f>IF(ISERROR(tblRisk[[#This Row],[Likelihood of Control Failure after SG]]),"",VLOOKUP(tblRisk[[#This Row],[Likelihood of Control Failure after SG]],tblLikelihood[#Data],2,FALSE))</f>
        <v>2</v>
      </c>
      <c r="AW125" s="159">
        <f>tblRisk[[#This Row],[Impact to Mission]]</f>
        <v>2</v>
      </c>
      <c r="AX125" s="159">
        <f>tblRisk[[#This Row],[Impact to Objectives]]</f>
        <v>3</v>
      </c>
      <c r="AY125" s="159">
        <f>tblRisk[[#This Row],[Impact to Obligations]]</f>
        <v>3</v>
      </c>
      <c r="AZ125" s="166">
        <f>IF(ISBLANK(tblRisk[[#This Row],[Impact to Mission With Safeguard in Place]]),"",MAX(tblRisk[[#This Row],[Impact to Mission With Safeguard in Place]:[Impact to Obligations With Safeguard in Place]]))</f>
        <v>3</v>
      </c>
      <c r="BA125" s="167">
        <f>IF(ISERROR(tblRisk[[#This Row],[Impact Score with Safeguard in Place]]*tblRisk[[#This Row],[Likelihood Score with Safeguard in Place]]),"",tblRisk[[#This Row],[Impact Score with Safeguard in Place]]*tblRisk[[#This Row],[Likelihood Score with Safeguard in Place]])</f>
        <v>6</v>
      </c>
      <c r="BB125" s="164">
        <f>tblRisk[[#This Row],[Risk Score With Safeguard in Place]]</f>
        <v>6</v>
      </c>
      <c r="BC125" s="168" t="str">
        <f>IF(tblRisk[[#This Row],[Risk Treatment Option]]&lt;&gt;"Accept",IF(_xlfn.XLOOKUP(tblRisk[[#This Row],[Specific Safeguard Recommendation]],ProTrak[Task],ProTrak[Status],"Not Found")="Completed","Pending Validation","Pending"),"")</f>
        <v/>
      </c>
      <c r="BD125" s="169" t="str">
        <f>_xlfn.XLOOKUP(tblRisk[[#This Row],[Risk Treatment Program]],tblRiskTreatmentPrograms[Risk Treatment Program],tblRiskTreatmentPrograms[Estimated End Date (MM/DD/YYYY)],"")</f>
        <v/>
      </c>
      <c r="BE125" s="170"/>
      <c r="BF125" s="171" t="str">
        <f>_xlfn.IFNA(IF(tblRisk[[#This Row],[Due Date]]&lt;=vWhatIfQuarter,"Closed",""),"")</f>
        <v/>
      </c>
      <c r="BG125" s="171">
        <f>IF(tblRisk[[#This Row],[Scenario Builder Status]]="Closed",tblRisk[[#This Row],[Risk Score With Safeguard in Place]],tblRisk[[#This Row],[Risk Score]])</f>
        <v>6</v>
      </c>
      <c r="BH125" s="192" t="str">
        <f>tblRisk[[#This Row],[Common Security Program]]&amp;tblRisk[[#This Row],[Common Security Control]]&amp;tblRisk[[#This Row],[Asset Designation ]]</f>
        <v>Third Party SecurityOperationData</v>
      </c>
      <c r="BI125" s="191"/>
      <c r="BJ125" s="191"/>
      <c r="BK125" s="191"/>
      <c r="BL125" s="191"/>
      <c r="BM125" s="191"/>
      <c r="BN125" s="191"/>
      <c r="BO125" s="191"/>
      <c r="BP125" s="191"/>
      <c r="BQ125" s="191"/>
    </row>
    <row r="126" spans="1:69" ht="94.5" x14ac:dyDescent="0.65">
      <c r="A126" s="160">
        <v>123</v>
      </c>
      <c r="B126" s="160" t="s">
        <v>899</v>
      </c>
      <c r="C126" s="19" t="s">
        <v>995</v>
      </c>
      <c r="D126" s="28" t="s">
        <v>1244</v>
      </c>
      <c r="E126" s="207" t="s">
        <v>1089</v>
      </c>
      <c r="F126" s="194"/>
      <c r="G126" s="194"/>
      <c r="H126" s="194" t="s">
        <v>117</v>
      </c>
      <c r="I126" s="194" t="s">
        <v>1080</v>
      </c>
      <c r="J126" s="194" t="s">
        <v>1080</v>
      </c>
      <c r="K126" s="194" t="s">
        <v>1080</v>
      </c>
      <c r="L126" s="194" t="s">
        <v>1080</v>
      </c>
      <c r="M126" s="194" t="s">
        <v>1080</v>
      </c>
      <c r="N126" s="194">
        <f>COUNTIF(tblRisk[[#This Row],[Defends Against Malware]:[Defends Against Targeted Intrusions]],"Yes")</f>
        <v>0</v>
      </c>
      <c r="O126" s="160" t="s">
        <v>12</v>
      </c>
      <c r="P126" s="160" t="s">
        <v>88</v>
      </c>
      <c r="Q126" s="160" t="s">
        <v>33</v>
      </c>
      <c r="R126" s="160" t="s">
        <v>1084</v>
      </c>
      <c r="S126" s="160" t="s">
        <v>1394</v>
      </c>
      <c r="T126" s="160" t="s">
        <v>1392</v>
      </c>
      <c r="U126" s="160" t="s">
        <v>1393</v>
      </c>
      <c r="V126" s="160" t="s">
        <v>1682</v>
      </c>
      <c r="W126" s="160" t="s">
        <v>1709</v>
      </c>
      <c r="X126" s="160" t="s">
        <v>1846</v>
      </c>
      <c r="Y126" s="151">
        <f>IF(ISBLANK(tblRisk[[#This Row],[Threat Cluster]]),"",_xlfn.XLOOKUP(tblRisk[[#This Row],[Threat Cluster]],tblHIT[Threat Cluster],tblHIT[Quintile]))</f>
        <v>2</v>
      </c>
      <c r="Z126" s="152">
        <v>4</v>
      </c>
      <c r="AA126" s="153" t="str">
        <f>IF(OR(ISBLANK(tblRisk[[#This Row],[HIT Quintile]]),ISBLANK(tblRisk[[#This Row],[Control Maturity]])),"",_xlfn.XLOOKUP(tblRisk[[#This Row],[Control Maturity]] &amp; tblRisk[[#This Row],[HIT Quintile]],tblHITWDI[Lookup],tblHITWDI[Likelihood Description]))</f>
        <v>Foreseeable, not expected</v>
      </c>
      <c r="AB126" s="161">
        <f>IF(ISERROR(tblRisk[[#This Row],[Likelihood of Control Failure]]),"",VLOOKUP(tblRisk[[#This Row],[Likelihood of Control Failure]],tblLikelihood[],2,FALSE))</f>
        <v>2</v>
      </c>
      <c r="AC126" s="154">
        <v>2</v>
      </c>
      <c r="AD126" s="155">
        <v>3</v>
      </c>
      <c r="AE126" s="155">
        <v>3</v>
      </c>
      <c r="AF126" s="162">
        <f>IF(ISBLANK(tblRisk[[#This Row],[Impact to Mission]]),"",MAX(tblRisk[[#This Row],[Impact to Mission]:[Impact to Obligations]]))</f>
        <v>3</v>
      </c>
      <c r="AG126" s="163">
        <f>IF(ISERROR(tblRisk[[#This Row],[Impact Score]]*tblRisk[[#This Row],[Likelihood Score]]),"",tblRisk[[#This Row],[Likelihood Score]]*tblRisk[[#This Row],[Impact Score]])</f>
        <v>6</v>
      </c>
      <c r="AH126" s="163">
        <f>tblRisk[[#This Row],[Risk Score]]</f>
        <v>6</v>
      </c>
      <c r="AI126" s="164">
        <f t="shared" si="3"/>
        <v>9</v>
      </c>
      <c r="AJ126" s="164">
        <f>IF(tblRisk[[#This Row],[Safeguard Status]]="In Place",tblRisk[[#This Row],[Control Maturity after SG]],tblRisk[[#This Row],[Control Maturity]])</f>
        <v>4</v>
      </c>
      <c r="AK126" s="173" t="str">
        <f>IF(tblRisk[[#This Row],[Safeguard Status]]="In Place",tblRisk[[#This Row],[Safeguard Threat Cluster]],tblRisk[[#This Row],[Threat Cluster]])</f>
        <v>Personnel Error</v>
      </c>
      <c r="AL126" s="164">
        <f>IF(tblRisk[[#This Row],[Safeguard Status]]="In Place",tblRisk[[#This Row],[Risk Level With Safeguard in Place]],tblRisk[[#This Row],[Risk Level]])</f>
        <v>6</v>
      </c>
      <c r="AM126" s="165" t="s">
        <v>1887</v>
      </c>
      <c r="AN126" s="165" t="str">
        <f>IF(tblRisk[[#This Row],[Risk Treatment Option]]="Manage",_xlfn.IFNA(INDEX(tblRiskTreatmentPrograms[#Data],MATCH(tblRisk[[#This Row],[Common Security Program]]&amp;tblRisk[[#This Row],[Common Security Control]],tblRiskTreatmentPrograms[Lookup],0),MATCH($AN$3,tblRiskTreatmentPrograms[#Headers],0)),txtBadRTP),"")</f>
        <v/>
      </c>
      <c r="AO126" s="165" t="str">
        <f>IF(tblRisk[[#This Row],[Risk Treatment Program]]="","",INDEX(tblRiskTreatmentPrograms[#Data],MATCH(tblRisk[[#This Row],[Risk Treatment Program]],tblRiskTreatmentPrograms[Risk Treatment Program],0),MATCH($AO$3,tblRiskTreatmentPrograms[#Headers],0)))</f>
        <v/>
      </c>
      <c r="AP126" s="165"/>
      <c r="AQ12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6" s="19" t="str">
        <f>tblRisk[[#This Row],[Threat Cluster]]</f>
        <v>Personnel Error</v>
      </c>
      <c r="AS126" s="156">
        <f>IF(ISBLANK(tblRisk[[#This Row],[Safeguard Threat Cluster]]),"",_xlfn.XLOOKUP(tblRisk[[#This Row],[Safeguard Threat Cluster]],tblHIT[Threat Cluster],tblHIT[Quintile]))</f>
        <v>2</v>
      </c>
      <c r="AT126" s="157">
        <f>_xlfn.SWITCH(tblRisk[[#This Row],[Risk Treatment Option]],"Manage",tblRisk[[#This Row],[Control Maturity]]+1,tblRisk[[#This Row],[Control Maturity]])</f>
        <v>4</v>
      </c>
      <c r="AU12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6" s="166">
        <f>IF(ISERROR(tblRisk[[#This Row],[Likelihood of Control Failure after SG]]),"",VLOOKUP(tblRisk[[#This Row],[Likelihood of Control Failure after SG]],tblLikelihood[#Data],2,FALSE))</f>
        <v>2</v>
      </c>
      <c r="AW126" s="159">
        <f>tblRisk[[#This Row],[Impact to Mission]]</f>
        <v>2</v>
      </c>
      <c r="AX126" s="159">
        <f>tblRisk[[#This Row],[Impact to Objectives]]</f>
        <v>3</v>
      </c>
      <c r="AY126" s="159">
        <f>tblRisk[[#This Row],[Impact to Obligations]]</f>
        <v>3</v>
      </c>
      <c r="AZ126" s="166">
        <f>IF(ISBLANK(tblRisk[[#This Row],[Impact to Mission With Safeguard in Place]]),"",MAX(tblRisk[[#This Row],[Impact to Mission With Safeguard in Place]:[Impact to Obligations With Safeguard in Place]]))</f>
        <v>3</v>
      </c>
      <c r="BA126" s="167">
        <f>IF(ISERROR(tblRisk[[#This Row],[Impact Score with Safeguard in Place]]*tblRisk[[#This Row],[Likelihood Score with Safeguard in Place]]),"",tblRisk[[#This Row],[Impact Score with Safeguard in Place]]*tblRisk[[#This Row],[Likelihood Score with Safeguard in Place]])</f>
        <v>6</v>
      </c>
      <c r="BB126" s="164">
        <f>tblRisk[[#This Row],[Risk Score With Safeguard in Place]]</f>
        <v>6</v>
      </c>
      <c r="BC126" s="168" t="str">
        <f>IF(tblRisk[[#This Row],[Risk Treatment Option]]&lt;&gt;"Accept",IF(_xlfn.XLOOKUP(tblRisk[[#This Row],[Specific Safeguard Recommendation]],ProTrak[Task],ProTrak[Status],"Not Found")="Completed","Pending Validation","Pending"),"")</f>
        <v/>
      </c>
      <c r="BD126" s="169" t="str">
        <f>_xlfn.XLOOKUP(tblRisk[[#This Row],[Risk Treatment Program]],tblRiskTreatmentPrograms[Risk Treatment Program],tblRiskTreatmentPrograms[Estimated End Date (MM/DD/YYYY)],"")</f>
        <v/>
      </c>
      <c r="BE126" s="170"/>
      <c r="BF126" s="171" t="str">
        <f>_xlfn.IFNA(IF(tblRisk[[#This Row],[Due Date]]&lt;=vWhatIfQuarter,"Closed",""),"")</f>
        <v/>
      </c>
      <c r="BG126" s="171">
        <f>IF(tblRisk[[#This Row],[Scenario Builder Status]]="Closed",tblRisk[[#This Row],[Risk Score With Safeguard in Place]],tblRisk[[#This Row],[Risk Score]])</f>
        <v>6</v>
      </c>
      <c r="BH126" s="192" t="str">
        <f>tblRisk[[#This Row],[Common Security Program]]&amp;tblRisk[[#This Row],[Common Security Control]]&amp;tblRisk[[#This Row],[Asset Designation ]]</f>
        <v>Third Party SecurityOperationData</v>
      </c>
      <c r="BI126" s="191"/>
      <c r="BJ126" s="191"/>
      <c r="BK126" s="191"/>
      <c r="BL126" s="191"/>
      <c r="BM126" s="191"/>
      <c r="BN126" s="191"/>
      <c r="BO126" s="191"/>
      <c r="BP126" s="191"/>
      <c r="BQ126" s="191"/>
    </row>
    <row r="127" spans="1:69" ht="173.25" x14ac:dyDescent="0.65">
      <c r="A127" s="160">
        <v>124</v>
      </c>
      <c r="B127" s="160" t="s">
        <v>899</v>
      </c>
      <c r="C127" s="19" t="s">
        <v>996</v>
      </c>
      <c r="D127" s="28" t="s">
        <v>1245</v>
      </c>
      <c r="E127" s="207" t="s">
        <v>1091</v>
      </c>
      <c r="F127" s="194"/>
      <c r="G127" s="194"/>
      <c r="H127" s="194" t="s">
        <v>117</v>
      </c>
      <c r="I127" s="194" t="s">
        <v>1080</v>
      </c>
      <c r="J127" s="194" t="s">
        <v>1080</v>
      </c>
      <c r="K127" s="194" t="s">
        <v>1080</v>
      </c>
      <c r="L127" s="194" t="s">
        <v>1080</v>
      </c>
      <c r="M127" s="194" t="s">
        <v>1080</v>
      </c>
      <c r="N127" s="194">
        <f>COUNTIF(tblRisk[[#This Row],[Defends Against Malware]:[Defends Against Targeted Intrusions]],"Yes")</f>
        <v>0</v>
      </c>
      <c r="O127" s="160" t="s">
        <v>12</v>
      </c>
      <c r="P127" s="160" t="s">
        <v>88</v>
      </c>
      <c r="Q127" s="160" t="s">
        <v>30</v>
      </c>
      <c r="R127" s="160" t="s">
        <v>1084</v>
      </c>
      <c r="S127" s="160" t="s">
        <v>1394</v>
      </c>
      <c r="T127" s="160" t="s">
        <v>1392</v>
      </c>
      <c r="U127" s="160" t="s">
        <v>1393</v>
      </c>
      <c r="V127" s="160" t="s">
        <v>1683</v>
      </c>
      <c r="W127" s="160" t="s">
        <v>1847</v>
      </c>
      <c r="X127" s="160" t="s">
        <v>1848</v>
      </c>
      <c r="Y127" s="151">
        <f>IF(ISBLANK(tblRisk[[#This Row],[Threat Cluster]]),"",_xlfn.XLOOKUP(tblRisk[[#This Row],[Threat Cluster]],tblHIT[Threat Cluster],tblHIT[Quintile]))</f>
        <v>2</v>
      </c>
      <c r="Z127" s="152">
        <v>2</v>
      </c>
      <c r="AA127" s="153" t="str">
        <f>IF(OR(ISBLANK(tblRisk[[#This Row],[HIT Quintile]]),ISBLANK(tblRisk[[#This Row],[Control Maturity]])),"",_xlfn.XLOOKUP(tblRisk[[#This Row],[Control Maturity]] &amp; tblRisk[[#This Row],[HIT Quintile]],tblHITWDI[Lookup],tblHITWDI[Likelihood Description]))</f>
        <v>Common</v>
      </c>
      <c r="AB127" s="161">
        <f>IF(ISERROR(tblRisk[[#This Row],[Likelihood of Control Failure]]),"",VLOOKUP(tblRisk[[#This Row],[Likelihood of Control Failure]],tblLikelihood[],2,FALSE))</f>
        <v>4</v>
      </c>
      <c r="AC127" s="154">
        <v>2</v>
      </c>
      <c r="AD127" s="155">
        <v>3</v>
      </c>
      <c r="AE127" s="155">
        <v>3</v>
      </c>
      <c r="AF127" s="162">
        <f>IF(ISBLANK(tblRisk[[#This Row],[Impact to Mission]]),"",MAX(tblRisk[[#This Row],[Impact to Mission]:[Impact to Obligations]]))</f>
        <v>3</v>
      </c>
      <c r="AG127" s="163">
        <f>IF(ISERROR(tblRisk[[#This Row],[Impact Score]]*tblRisk[[#This Row],[Likelihood Score]]),"",tblRisk[[#This Row],[Likelihood Score]]*tblRisk[[#This Row],[Impact Score]])</f>
        <v>12</v>
      </c>
      <c r="AH127" s="163">
        <f>tblRisk[[#This Row],[Risk Score]]</f>
        <v>12</v>
      </c>
      <c r="AI127" s="164">
        <f t="shared" si="3"/>
        <v>9</v>
      </c>
      <c r="AJ127" s="164">
        <f>IF(tblRisk[[#This Row],[Safeguard Status]]="In Place",tblRisk[[#This Row],[Control Maturity after SG]],tblRisk[[#This Row],[Control Maturity]])</f>
        <v>2</v>
      </c>
      <c r="AK127" s="173" t="str">
        <f>IF(tblRisk[[#This Row],[Safeguard Status]]="In Place",tblRisk[[#This Row],[Safeguard Threat Cluster]],tblRisk[[#This Row],[Threat Cluster]])</f>
        <v>Hacking System</v>
      </c>
      <c r="AL127" s="164">
        <f>IF(tblRisk[[#This Row],[Safeguard Status]]="In Place",tblRisk[[#This Row],[Risk Level With Safeguard in Place]],tblRisk[[#This Row],[Risk Level]])</f>
        <v>12</v>
      </c>
      <c r="AM127" s="165" t="s">
        <v>1564</v>
      </c>
      <c r="AN127"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Third Party Security</v>
      </c>
      <c r="AO127"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Third Party Security including:
 * implementing Third Party Security management process for the organization, including vendor risk assessment, relationship management, procurement due diligence, and agreement review;
 * implementing third party partner onboarding/offboarding procedures;
 * restricting Third Party Security access including physical and remote access, data access, production system access;
 * monitoring of Third Party activity, etc.;
 * responding to Third Party Security incidents; and 
 * reporting of Third Party Security performance metrics
</v>
      </c>
      <c r="AP127" s="165" t="s">
        <v>1897</v>
      </c>
      <c r="AQ12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27" s="19" t="str">
        <f>tblRisk[[#This Row],[Threat Cluster]]</f>
        <v>Hacking System</v>
      </c>
      <c r="AS127" s="156">
        <f>IF(ISBLANK(tblRisk[[#This Row],[Safeguard Threat Cluster]]),"",_xlfn.XLOOKUP(tblRisk[[#This Row],[Safeguard Threat Cluster]],tblHIT[Threat Cluster],tblHIT[Quintile]))</f>
        <v>2</v>
      </c>
      <c r="AT127" s="157">
        <v>4</v>
      </c>
      <c r="AU12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7" s="166">
        <f>IF(ISERROR(tblRisk[[#This Row],[Likelihood of Control Failure after SG]]),"",VLOOKUP(tblRisk[[#This Row],[Likelihood of Control Failure after SG]],tblLikelihood[#Data],2,FALSE))</f>
        <v>2</v>
      </c>
      <c r="AW127" s="159">
        <f>tblRisk[[#This Row],[Impact to Mission]]</f>
        <v>2</v>
      </c>
      <c r="AX127" s="159">
        <f>tblRisk[[#This Row],[Impact to Objectives]]</f>
        <v>3</v>
      </c>
      <c r="AY127" s="159">
        <f>tblRisk[[#This Row],[Impact to Obligations]]</f>
        <v>3</v>
      </c>
      <c r="AZ127" s="166">
        <f>IF(ISBLANK(tblRisk[[#This Row],[Impact to Mission With Safeguard in Place]]),"",MAX(tblRisk[[#This Row],[Impact to Mission With Safeguard in Place]:[Impact to Obligations With Safeguard in Place]]))</f>
        <v>3</v>
      </c>
      <c r="BA127" s="167">
        <f>IF(ISERROR(tblRisk[[#This Row],[Impact Score with Safeguard in Place]]*tblRisk[[#This Row],[Likelihood Score with Safeguard in Place]]),"",tblRisk[[#This Row],[Impact Score with Safeguard in Place]]*tblRisk[[#This Row],[Likelihood Score with Safeguard in Place]])</f>
        <v>6</v>
      </c>
      <c r="BB127" s="164">
        <f>tblRisk[[#This Row],[Risk Score With Safeguard in Place]]</f>
        <v>6</v>
      </c>
      <c r="BC127" s="168" t="str">
        <f>IF(tblRisk[[#This Row],[Risk Treatment Option]]&lt;&gt;"Accept",IF(_xlfn.XLOOKUP(tblRisk[[#This Row],[Specific Safeguard Recommendation]],ProTrak[Task],ProTrak[Status],"Not Found")="Completed","Pending Validation","Pending"),"")</f>
        <v>Pending</v>
      </c>
      <c r="BD127" s="169" t="str">
        <f>_xlfn.XLOOKUP(tblRisk[[#This Row],[Risk Treatment Program]],tblRiskTreatmentPrograms[Risk Treatment Program],tblRiskTreatmentPrograms[Estimated End Date (MM/DD/YYYY)],"")</f>
        <v>TBD</v>
      </c>
      <c r="BE127" s="170"/>
      <c r="BF127" s="171" t="str">
        <f>_xlfn.IFNA(IF(tblRisk[[#This Row],[Due Date]]&lt;=vWhatIfQuarter,"Closed",""),"")</f>
        <v/>
      </c>
      <c r="BG127" s="171">
        <f>IF(tblRisk[[#This Row],[Scenario Builder Status]]="Closed",tblRisk[[#This Row],[Risk Score With Safeguard in Place]],tblRisk[[#This Row],[Risk Score]])</f>
        <v>12</v>
      </c>
      <c r="BH127" s="192" t="str">
        <f>tblRisk[[#This Row],[Common Security Program]]&amp;tblRisk[[#This Row],[Common Security Control]]&amp;tblRisk[[#This Row],[Asset Designation ]]</f>
        <v>Third Party SecurityOperationData</v>
      </c>
      <c r="BI127" s="191"/>
      <c r="BJ127" s="191"/>
      <c r="BK127" s="191"/>
      <c r="BL127" s="191"/>
      <c r="BM127" s="191"/>
      <c r="BN127" s="191"/>
      <c r="BO127" s="191"/>
      <c r="BP127" s="191"/>
      <c r="BQ127" s="191"/>
    </row>
    <row r="128" spans="1:69" ht="94.5" x14ac:dyDescent="0.65">
      <c r="A128" s="160">
        <v>125</v>
      </c>
      <c r="B128" s="160" t="s">
        <v>899</v>
      </c>
      <c r="C128" s="19" t="s">
        <v>997</v>
      </c>
      <c r="D128" s="28" t="s">
        <v>1246</v>
      </c>
      <c r="E128" s="207" t="s">
        <v>1092</v>
      </c>
      <c r="F128" s="194"/>
      <c r="G128" s="194"/>
      <c r="H128" s="194" t="s">
        <v>117</v>
      </c>
      <c r="I128" s="194" t="s">
        <v>1081</v>
      </c>
      <c r="J128" s="194" t="s">
        <v>1080</v>
      </c>
      <c r="K128" s="194" t="s">
        <v>1081</v>
      </c>
      <c r="L128" s="194" t="s">
        <v>1081</v>
      </c>
      <c r="M128" s="194" t="s">
        <v>1080</v>
      </c>
      <c r="N128" s="194">
        <f>COUNTIF(tblRisk[[#This Row],[Defends Against Malware]:[Defends Against Targeted Intrusions]],"Yes")</f>
        <v>3</v>
      </c>
      <c r="O128" s="160" t="s">
        <v>12</v>
      </c>
      <c r="P128" s="160" t="s">
        <v>88</v>
      </c>
      <c r="Q128" s="160" t="s">
        <v>33</v>
      </c>
      <c r="R128" s="160" t="s">
        <v>1084</v>
      </c>
      <c r="S128" s="160" t="s">
        <v>1394</v>
      </c>
      <c r="T128" s="160" t="s">
        <v>1392</v>
      </c>
      <c r="U128" s="160" t="s">
        <v>1393</v>
      </c>
      <c r="V128" s="19" t="s">
        <v>1619</v>
      </c>
      <c r="W128" s="160" t="s">
        <v>1709</v>
      </c>
      <c r="X128" s="160" t="s">
        <v>1849</v>
      </c>
      <c r="Y128" s="151">
        <f>IF(ISBLANK(tblRisk[[#This Row],[Threat Cluster]]),"",_xlfn.XLOOKUP(tblRisk[[#This Row],[Threat Cluster]],tblHIT[Threat Cluster],tblHIT[Quintile]))</f>
        <v>2</v>
      </c>
      <c r="Z128" s="152">
        <v>4</v>
      </c>
      <c r="AA128" s="153" t="str">
        <f>IF(OR(ISBLANK(tblRisk[[#This Row],[HIT Quintile]]),ISBLANK(tblRisk[[#This Row],[Control Maturity]])),"",_xlfn.XLOOKUP(tblRisk[[#This Row],[Control Maturity]] &amp; tblRisk[[#This Row],[HIT Quintile]],tblHITWDI[Lookup],tblHITWDI[Likelihood Description]))</f>
        <v>Foreseeable, not expected</v>
      </c>
      <c r="AB128" s="161">
        <f>IF(ISERROR(tblRisk[[#This Row],[Likelihood of Control Failure]]),"",VLOOKUP(tblRisk[[#This Row],[Likelihood of Control Failure]],tblLikelihood[],2,FALSE))</f>
        <v>2</v>
      </c>
      <c r="AC128" s="154">
        <v>2</v>
      </c>
      <c r="AD128" s="155">
        <v>3</v>
      </c>
      <c r="AE128" s="155">
        <v>3</v>
      </c>
      <c r="AF128" s="162">
        <f>IF(ISBLANK(tblRisk[[#This Row],[Impact to Mission]]),"",MAX(tblRisk[[#This Row],[Impact to Mission]:[Impact to Obligations]]))</f>
        <v>3</v>
      </c>
      <c r="AG128" s="163">
        <f>IF(ISERROR(tblRisk[[#This Row],[Impact Score]]*tblRisk[[#This Row],[Likelihood Score]]),"",tblRisk[[#This Row],[Likelihood Score]]*tblRisk[[#This Row],[Impact Score]])</f>
        <v>6</v>
      </c>
      <c r="AH128" s="163">
        <f>tblRisk[[#This Row],[Risk Score]]</f>
        <v>6</v>
      </c>
      <c r="AI128" s="164">
        <f t="shared" si="3"/>
        <v>9</v>
      </c>
      <c r="AJ128" s="164">
        <f>IF(tblRisk[[#This Row],[Safeguard Status]]="In Place",tblRisk[[#This Row],[Control Maturity after SG]],tblRisk[[#This Row],[Control Maturity]])</f>
        <v>4</v>
      </c>
      <c r="AK128" s="173" t="str">
        <f>IF(tblRisk[[#This Row],[Safeguard Status]]="In Place",tblRisk[[#This Row],[Safeguard Threat Cluster]],tblRisk[[#This Row],[Threat Cluster]])</f>
        <v>Personnel Error</v>
      </c>
      <c r="AL128" s="164">
        <f>IF(tblRisk[[#This Row],[Safeguard Status]]="In Place",tblRisk[[#This Row],[Risk Level With Safeguard in Place]],tblRisk[[#This Row],[Risk Level]])</f>
        <v>6</v>
      </c>
      <c r="AM128" s="165" t="s">
        <v>1887</v>
      </c>
      <c r="AN128" s="165" t="str">
        <f>IF(tblRisk[[#This Row],[Risk Treatment Option]]="Manage",_xlfn.IFNA(INDEX(tblRiskTreatmentPrograms[#Data],MATCH(tblRisk[[#This Row],[Common Security Program]]&amp;tblRisk[[#This Row],[Common Security Control]],tblRiskTreatmentPrograms[Lookup],0),MATCH($AN$3,tblRiskTreatmentPrograms[#Headers],0)),txtBadRTP),"")</f>
        <v/>
      </c>
      <c r="AO128" s="165" t="str">
        <f>IF(tblRisk[[#This Row],[Risk Treatment Program]]="","",INDEX(tblRiskTreatmentPrograms[#Data],MATCH(tblRisk[[#This Row],[Risk Treatment Program]],tblRiskTreatmentPrograms[Risk Treatment Program],0),MATCH($AO$3,tblRiskTreatmentPrograms[#Headers],0)))</f>
        <v/>
      </c>
      <c r="AP128" s="165"/>
      <c r="AQ12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8" s="19" t="str">
        <f>tblRisk[[#This Row],[Threat Cluster]]</f>
        <v>Personnel Error</v>
      </c>
      <c r="AS128" s="156">
        <f>IF(ISBLANK(tblRisk[[#This Row],[Safeguard Threat Cluster]]),"",_xlfn.XLOOKUP(tblRisk[[#This Row],[Safeguard Threat Cluster]],tblHIT[Threat Cluster],tblHIT[Quintile]))</f>
        <v>2</v>
      </c>
      <c r="AT128" s="157">
        <f>_xlfn.SWITCH(tblRisk[[#This Row],[Risk Treatment Option]],"Manage",tblRisk[[#This Row],[Control Maturity]]+1,tblRisk[[#This Row],[Control Maturity]])</f>
        <v>4</v>
      </c>
      <c r="AU12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28" s="166">
        <f>IF(ISERROR(tblRisk[[#This Row],[Likelihood of Control Failure after SG]]),"",VLOOKUP(tblRisk[[#This Row],[Likelihood of Control Failure after SG]],tblLikelihood[#Data],2,FALSE))</f>
        <v>2</v>
      </c>
      <c r="AW128" s="159">
        <f>tblRisk[[#This Row],[Impact to Mission]]</f>
        <v>2</v>
      </c>
      <c r="AX128" s="159">
        <f>tblRisk[[#This Row],[Impact to Objectives]]</f>
        <v>3</v>
      </c>
      <c r="AY128" s="159">
        <f>tblRisk[[#This Row],[Impact to Obligations]]</f>
        <v>3</v>
      </c>
      <c r="AZ128" s="166">
        <f>IF(ISBLANK(tblRisk[[#This Row],[Impact to Mission With Safeguard in Place]]),"",MAX(tblRisk[[#This Row],[Impact to Mission With Safeguard in Place]:[Impact to Obligations With Safeguard in Place]]))</f>
        <v>3</v>
      </c>
      <c r="BA128" s="167">
        <f>IF(ISERROR(tblRisk[[#This Row],[Impact Score with Safeguard in Place]]*tblRisk[[#This Row],[Likelihood Score with Safeguard in Place]]),"",tblRisk[[#This Row],[Impact Score with Safeguard in Place]]*tblRisk[[#This Row],[Likelihood Score with Safeguard in Place]])</f>
        <v>6</v>
      </c>
      <c r="BB128" s="164">
        <f>tblRisk[[#This Row],[Risk Score With Safeguard in Place]]</f>
        <v>6</v>
      </c>
      <c r="BC128" s="168" t="str">
        <f>IF(tblRisk[[#This Row],[Risk Treatment Option]]&lt;&gt;"Accept",IF(_xlfn.XLOOKUP(tblRisk[[#This Row],[Specific Safeguard Recommendation]],ProTrak[Task],ProTrak[Status],"Not Found")="Completed","Pending Validation","Pending"),"")</f>
        <v/>
      </c>
      <c r="BD128" s="169" t="str">
        <f>_xlfn.XLOOKUP(tblRisk[[#This Row],[Risk Treatment Program]],tblRiskTreatmentPrograms[Risk Treatment Program],tblRiskTreatmentPrograms[Estimated End Date (MM/DD/YYYY)],"")</f>
        <v/>
      </c>
      <c r="BE128" s="170"/>
      <c r="BF128" s="171" t="str">
        <f>_xlfn.IFNA(IF(tblRisk[[#This Row],[Due Date]]&lt;=vWhatIfQuarter,"Closed",""),"")</f>
        <v/>
      </c>
      <c r="BG128" s="171">
        <f>IF(tblRisk[[#This Row],[Scenario Builder Status]]="Closed",tblRisk[[#This Row],[Risk Score With Safeguard in Place]],tblRisk[[#This Row],[Risk Score]])</f>
        <v>6</v>
      </c>
      <c r="BH128" s="192" t="str">
        <f>tblRisk[[#This Row],[Common Security Program]]&amp;tblRisk[[#This Row],[Common Security Control]]&amp;tblRisk[[#This Row],[Asset Designation ]]</f>
        <v>Third Party SecurityOperationData</v>
      </c>
      <c r="BI128" s="191"/>
      <c r="BJ128" s="191"/>
      <c r="BK128" s="191"/>
      <c r="BL128" s="191"/>
      <c r="BM128" s="191"/>
      <c r="BN128" s="191"/>
      <c r="BO128" s="191"/>
      <c r="BP128" s="191"/>
      <c r="BQ128" s="191"/>
    </row>
    <row r="129" spans="1:69" ht="157.5" x14ac:dyDescent="0.65">
      <c r="A129" s="160">
        <v>126</v>
      </c>
      <c r="B129" s="160" t="s">
        <v>899</v>
      </c>
      <c r="C129" s="19" t="s">
        <v>1043</v>
      </c>
      <c r="D129" s="28" t="s">
        <v>1247</v>
      </c>
      <c r="E129" s="207" t="s">
        <v>1092</v>
      </c>
      <c r="F129" s="194"/>
      <c r="G129" s="194" t="s">
        <v>117</v>
      </c>
      <c r="H129" s="194" t="s">
        <v>117</v>
      </c>
      <c r="I129" s="194" t="s">
        <v>1081</v>
      </c>
      <c r="J129" s="194" t="s">
        <v>1081</v>
      </c>
      <c r="K129" s="194" t="s">
        <v>1081</v>
      </c>
      <c r="L129" s="194" t="s">
        <v>1081</v>
      </c>
      <c r="M129" s="194" t="s">
        <v>1081</v>
      </c>
      <c r="N129" s="194">
        <f>COUNTIF(tblRisk[[#This Row],[Defends Against Malware]:[Defends Against Targeted Intrusions]],"Yes")</f>
        <v>5</v>
      </c>
      <c r="O129" s="160" t="s">
        <v>16</v>
      </c>
      <c r="P129" s="160" t="s">
        <v>86</v>
      </c>
      <c r="Q129" s="160" t="s">
        <v>1109</v>
      </c>
      <c r="R129" s="160" t="s">
        <v>1083</v>
      </c>
      <c r="S129" s="160" t="s">
        <v>1087</v>
      </c>
      <c r="T129" s="160" t="s">
        <v>1405</v>
      </c>
      <c r="U129" s="160" t="s">
        <v>1406</v>
      </c>
      <c r="V129" s="19" t="s">
        <v>1684</v>
      </c>
      <c r="W129" s="160" t="s">
        <v>1709</v>
      </c>
      <c r="X129" s="160" t="s">
        <v>1850</v>
      </c>
      <c r="Y129" s="151">
        <f>IF(ISBLANK(tblRisk[[#This Row],[Threat Cluster]]),"",_xlfn.XLOOKUP(tblRisk[[#This Row],[Threat Cluster]],tblHIT[Threat Cluster],tblHIT[Quintile]))</f>
        <v>1</v>
      </c>
      <c r="Z129" s="152">
        <v>4</v>
      </c>
      <c r="AA129" s="153" t="str">
        <f>IF(OR(ISBLANK(tblRisk[[#This Row],[HIT Quintile]]),ISBLANK(tblRisk[[#This Row],[Control Maturity]])),"",_xlfn.XLOOKUP(tblRisk[[#This Row],[Control Maturity]] &amp; tblRisk[[#This Row],[HIT Quintile]],tblHITWDI[Lookup],tblHITWDI[Likelihood Description]))</f>
        <v>Not Foreseeable</v>
      </c>
      <c r="AB129" s="161">
        <f>IF(ISERROR(tblRisk[[#This Row],[Likelihood of Control Failure]]),"",VLOOKUP(tblRisk[[#This Row],[Likelihood of Control Failure]],tblLikelihood[],2,FALSE))</f>
        <v>1</v>
      </c>
      <c r="AC129" s="154">
        <v>3</v>
      </c>
      <c r="AD129" s="155">
        <v>3</v>
      </c>
      <c r="AE129" s="155">
        <v>4</v>
      </c>
      <c r="AF129" s="162">
        <f>IF(ISBLANK(tblRisk[[#This Row],[Impact to Mission]]),"",MAX(tblRisk[[#This Row],[Impact to Mission]:[Impact to Obligations]]))</f>
        <v>4</v>
      </c>
      <c r="AG129" s="163">
        <f>IF(ISERROR(tblRisk[[#This Row],[Impact Score]]*tblRisk[[#This Row],[Likelihood Score]]),"",tblRisk[[#This Row],[Likelihood Score]]*tblRisk[[#This Row],[Impact Score]])</f>
        <v>4</v>
      </c>
      <c r="AH129" s="163">
        <f>tblRisk[[#This Row],[Risk Score]]</f>
        <v>4</v>
      </c>
      <c r="AI129" s="164">
        <f t="shared" si="3"/>
        <v>9</v>
      </c>
      <c r="AJ129" s="164">
        <f>IF(tblRisk[[#This Row],[Safeguard Status]]="In Place",tblRisk[[#This Row],[Control Maturity after SG]],tblRisk[[#This Row],[Control Maturity]])</f>
        <v>4</v>
      </c>
      <c r="AK129" s="173" t="str">
        <f>IF(tblRisk[[#This Row],[Safeguard Status]]="In Place",tblRisk[[#This Row],[Safeguard Threat Cluster]],tblRisk[[#This Row],[Threat Cluster]])</f>
        <v>Hacking web</v>
      </c>
      <c r="AL129" s="164">
        <f>IF(tblRisk[[#This Row],[Safeguard Status]]="In Place",tblRisk[[#This Row],[Risk Level With Safeguard in Place]],tblRisk[[#This Row],[Risk Level]])</f>
        <v>4</v>
      </c>
      <c r="AM129" s="165" t="s">
        <v>1887</v>
      </c>
      <c r="AN129" s="165" t="str">
        <f>IF(tblRisk[[#This Row],[Risk Treatment Option]]="Manage",_xlfn.IFNA(INDEX(tblRiskTreatmentPrograms[#Data],MATCH(tblRisk[[#This Row],[Common Security Program]]&amp;tblRisk[[#This Row],[Common Security Control]],tblRiskTreatmentPrograms[Lookup],0),MATCH($AN$3,tblRiskTreatmentPrograms[#Headers],0)),txtBadRTP),"")</f>
        <v/>
      </c>
      <c r="AO129" s="165" t="str">
        <f>IF(tblRisk[[#This Row],[Risk Treatment Program]]="","",INDEX(tblRiskTreatmentPrograms[#Data],MATCH(tblRisk[[#This Row],[Risk Treatment Program]],tblRiskTreatmentPrograms[Risk Treatment Program],0),MATCH($AO$3,tblRiskTreatmentPrograms[#Headers],0)))</f>
        <v/>
      </c>
      <c r="AP129" s="165"/>
      <c r="AQ12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29" s="19" t="str">
        <f>tblRisk[[#This Row],[Threat Cluster]]</f>
        <v>Hacking web</v>
      </c>
      <c r="AS129" s="156">
        <f>IF(ISBLANK(tblRisk[[#This Row],[Safeguard Threat Cluster]]),"",_xlfn.XLOOKUP(tblRisk[[#This Row],[Safeguard Threat Cluster]],tblHIT[Threat Cluster],tblHIT[Quintile]))</f>
        <v>1</v>
      </c>
      <c r="AT129" s="157">
        <f>_xlfn.SWITCH(tblRisk[[#This Row],[Risk Treatment Option]],"Manage",tblRisk[[#This Row],[Control Maturity]]+1,tblRisk[[#This Row],[Control Maturity]])</f>
        <v>4</v>
      </c>
      <c r="AU129" s="158" t="str">
        <f>IF(OR(ISBLANK(tblRisk[[#This Row],[Safeguard HIT Quintile]]),ISBLANK(tblRisk[[#This Row],[Control Maturity after SG]])),"",_xlfn.XLOOKUP(tblRisk[[#This Row],[Control Maturity after SG]] &amp;tblRisk[[#This Row],[Safeguard HIT Quintile]],tblHITWDI[Lookup],tblHITWDI[Likelihood Description]))</f>
        <v>Not Foreseeable</v>
      </c>
      <c r="AV129" s="166">
        <f>IF(ISERROR(tblRisk[[#This Row],[Likelihood of Control Failure after SG]]),"",VLOOKUP(tblRisk[[#This Row],[Likelihood of Control Failure after SG]],tblLikelihood[#Data],2,FALSE))</f>
        <v>1</v>
      </c>
      <c r="AW129" s="159">
        <f>tblRisk[[#This Row],[Impact to Mission]]</f>
        <v>3</v>
      </c>
      <c r="AX129" s="159">
        <f>tblRisk[[#This Row],[Impact to Objectives]]</f>
        <v>3</v>
      </c>
      <c r="AY129" s="159">
        <f>tblRisk[[#This Row],[Impact to Obligations]]</f>
        <v>4</v>
      </c>
      <c r="AZ129" s="166">
        <f>IF(ISBLANK(tblRisk[[#This Row],[Impact to Mission With Safeguard in Place]]),"",MAX(tblRisk[[#This Row],[Impact to Mission With Safeguard in Place]:[Impact to Obligations With Safeguard in Place]]))</f>
        <v>4</v>
      </c>
      <c r="BA129" s="167">
        <f>IF(ISERROR(tblRisk[[#This Row],[Impact Score with Safeguard in Place]]*tblRisk[[#This Row],[Likelihood Score with Safeguard in Place]]),"",tblRisk[[#This Row],[Impact Score with Safeguard in Place]]*tblRisk[[#This Row],[Likelihood Score with Safeguard in Place]])</f>
        <v>4</v>
      </c>
      <c r="BB129" s="164">
        <f>tblRisk[[#This Row],[Risk Score With Safeguard in Place]]</f>
        <v>4</v>
      </c>
      <c r="BC129" s="168" t="str">
        <f>IF(tblRisk[[#This Row],[Risk Treatment Option]]&lt;&gt;"Accept",IF(_xlfn.XLOOKUP(tblRisk[[#This Row],[Specific Safeguard Recommendation]],ProTrak[Task],ProTrak[Status],"Not Found")="Completed","Pending Validation","Pending"),"")</f>
        <v/>
      </c>
      <c r="BD129" s="169" t="str">
        <f>_xlfn.XLOOKUP(tblRisk[[#This Row],[Risk Treatment Program]],tblRiskTreatmentPrograms[Risk Treatment Program],tblRiskTreatmentPrograms[Estimated End Date (MM/DD/YYYY)],"")</f>
        <v/>
      </c>
      <c r="BE129" s="170"/>
      <c r="BF129" s="171" t="str">
        <f>_xlfn.IFNA(IF(tblRisk[[#This Row],[Due Date]]&lt;=vWhatIfQuarter,"Closed",""),"")</f>
        <v/>
      </c>
      <c r="BG129" s="171">
        <f>IF(tblRisk[[#This Row],[Scenario Builder Status]]="Closed",tblRisk[[#This Row],[Risk Score With Safeguard in Place]],tblRisk[[#This Row],[Risk Score]])</f>
        <v>4</v>
      </c>
      <c r="BH129" s="192" t="str">
        <f>tblRisk[[#This Row],[Common Security Program]]&amp;tblRisk[[#This Row],[Common Security Control]]&amp;tblRisk[[#This Row],[Asset Designation ]]</f>
        <v>Secure Application DevelopmentGovernanceApplications</v>
      </c>
      <c r="BI129" s="191" t="s">
        <v>117</v>
      </c>
      <c r="BJ129" s="191"/>
      <c r="BK129" s="191"/>
      <c r="BL129" s="191"/>
      <c r="BM129" s="191"/>
      <c r="BN129" s="191"/>
      <c r="BO129" s="191"/>
      <c r="BP129" s="191"/>
      <c r="BQ129" s="191"/>
    </row>
    <row r="130" spans="1:69" ht="141.75" x14ac:dyDescent="0.65">
      <c r="A130" s="160">
        <v>127</v>
      </c>
      <c r="B130" s="160" t="s">
        <v>899</v>
      </c>
      <c r="C130" s="19" t="s">
        <v>1044</v>
      </c>
      <c r="D130" s="28" t="s">
        <v>1248</v>
      </c>
      <c r="E130" s="207" t="s">
        <v>1092</v>
      </c>
      <c r="F130" s="194"/>
      <c r="G130" s="194" t="s">
        <v>117</v>
      </c>
      <c r="H130" s="194" t="s">
        <v>117</v>
      </c>
      <c r="I130" s="194" t="s">
        <v>1081</v>
      </c>
      <c r="J130" s="194" t="s">
        <v>1080</v>
      </c>
      <c r="K130" s="194" t="s">
        <v>1081</v>
      </c>
      <c r="L130" s="194" t="s">
        <v>1081</v>
      </c>
      <c r="M130" s="194" t="s">
        <v>1081</v>
      </c>
      <c r="N130" s="194">
        <f>COUNTIF(tblRisk[[#This Row],[Defends Against Malware]:[Defends Against Targeted Intrusions]],"Yes")</f>
        <v>4</v>
      </c>
      <c r="O130" s="160" t="s">
        <v>22</v>
      </c>
      <c r="P130" s="160" t="s">
        <v>86</v>
      </c>
      <c r="Q130" s="160" t="s">
        <v>1109</v>
      </c>
      <c r="R130" s="160" t="s">
        <v>1083</v>
      </c>
      <c r="S130" s="160" t="s">
        <v>1087</v>
      </c>
      <c r="T130" s="160" t="s">
        <v>1427</v>
      </c>
      <c r="U130" s="160" t="s">
        <v>1428</v>
      </c>
      <c r="V130" s="19" t="s">
        <v>1688</v>
      </c>
      <c r="W130" s="160" t="s">
        <v>1851</v>
      </c>
      <c r="X130" s="160" t="s">
        <v>1852</v>
      </c>
      <c r="Y130" s="151">
        <f>IF(ISBLANK(tblRisk[[#This Row],[Threat Cluster]]),"",_xlfn.XLOOKUP(tblRisk[[#This Row],[Threat Cluster]],tblHIT[Threat Cluster],tblHIT[Quintile]))</f>
        <v>1</v>
      </c>
      <c r="Z130" s="152">
        <v>2</v>
      </c>
      <c r="AA130" s="153" t="str">
        <f>IF(OR(ISBLANK(tblRisk[[#This Row],[HIT Quintile]]),ISBLANK(tblRisk[[#This Row],[Control Maturity]])),"",_xlfn.XLOOKUP(tblRisk[[#This Row],[Control Maturity]] &amp; tblRisk[[#This Row],[HIT Quintile]],tblHITWDI[Lookup],tblHITWDI[Likelihood Description]))</f>
        <v>Foreseeable, expected</v>
      </c>
      <c r="AB130" s="161">
        <f>IF(ISERROR(tblRisk[[#This Row],[Likelihood of Control Failure]]),"",VLOOKUP(tblRisk[[#This Row],[Likelihood of Control Failure]],tblLikelihood[],2,FALSE))</f>
        <v>3</v>
      </c>
      <c r="AC130" s="154">
        <v>3</v>
      </c>
      <c r="AD130" s="155">
        <v>3</v>
      </c>
      <c r="AE130" s="155">
        <v>4</v>
      </c>
      <c r="AF130" s="162">
        <f>IF(ISBLANK(tblRisk[[#This Row],[Impact to Mission]]),"",MAX(tblRisk[[#This Row],[Impact to Mission]:[Impact to Obligations]]))</f>
        <v>4</v>
      </c>
      <c r="AG130" s="163">
        <f>IF(ISERROR(tblRisk[[#This Row],[Impact Score]]*tblRisk[[#This Row],[Likelihood Score]]),"",tblRisk[[#This Row],[Likelihood Score]]*tblRisk[[#This Row],[Impact Score]])</f>
        <v>12</v>
      </c>
      <c r="AH130" s="163">
        <f>tblRisk[[#This Row],[Risk Score]]</f>
        <v>12</v>
      </c>
      <c r="AI130" s="164">
        <f t="shared" si="3"/>
        <v>9</v>
      </c>
      <c r="AJ130" s="164">
        <f>IF(tblRisk[[#This Row],[Safeguard Status]]="In Place",tblRisk[[#This Row],[Control Maturity after SG]],tblRisk[[#This Row],[Control Maturity]])</f>
        <v>2</v>
      </c>
      <c r="AK130" s="173" t="str">
        <f>IF(tblRisk[[#This Row],[Safeguard Status]]="In Place",tblRisk[[#This Row],[Safeguard Threat Cluster]],tblRisk[[#This Row],[Threat Cluster]])</f>
        <v>Hacking web</v>
      </c>
      <c r="AL130" s="164">
        <f>IF(tblRisk[[#This Row],[Safeguard Status]]="In Place",tblRisk[[#This Row],[Risk Level With Safeguard in Place]],tblRisk[[#This Row],[Risk Level]])</f>
        <v>12</v>
      </c>
      <c r="AM130" s="165" t="s">
        <v>1564</v>
      </c>
      <c r="AN130" s="165" t="str">
        <f>IF(tblRisk[[#This Row],[Risk Treatment Option]]="Manage",_xlfn.IFNA(INDEX(tblRiskTreatmentPrograms[#Data],MATCH(tblRisk[[#This Row],[Common Security Program]]&amp;tblRisk[[#This Row],[Common Security Control]],tblRiskTreatmentPrograms[Lookup],0),MATCH($AN$3,tblRiskTreatmentPrograms[#Headers],0)),txtBadRTP),"")</f>
        <v>Establish Organizational Information Security Vulnerability Management</v>
      </c>
      <c r="AO130" s="165" t="str">
        <f>IF(tblRisk[[#This Row],[Risk Treatment Program]]="","",INDEX(tblRiskTreatmentPrograms[#Data],MATCH(tblRisk[[#This Row],[Risk Treatment Program]],tblRiskTreatmentPrograms[Risk Treatment Program],0),MATCH($AO$3,tblRiskTreatmentPrograms[#Headers],0)))</f>
        <v xml:space="preserve">Ensure that policies, standards, etc. establish the foundation for Information Security Vulnerability Management:
 * establish the Vulnerability Management requirements including, methodology and approach, risk assessment criteria, documentation requirements, remediation planning and management, management review;
 * define reporting and performance measurement;
 * review, update, and approval of Vulnerability Management documentation; and
 * communication of Vulnerability Management policies and processes.
</v>
      </c>
      <c r="AP130" s="165" t="s">
        <v>1898</v>
      </c>
      <c r="AQ13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30" s="19" t="str">
        <f>tblRisk[[#This Row],[Threat Cluster]]</f>
        <v>Hacking web</v>
      </c>
      <c r="AS130" s="156">
        <f>IF(ISBLANK(tblRisk[[#This Row],[Safeguard Threat Cluster]]),"",_xlfn.XLOOKUP(tblRisk[[#This Row],[Safeguard Threat Cluster]],tblHIT[Threat Cluster],tblHIT[Quintile]))</f>
        <v>1</v>
      </c>
      <c r="AT130" s="157">
        <f>_xlfn.SWITCH(tblRisk[[#This Row],[Risk Treatment Option]],"Manage",tblRisk[[#This Row],[Control Maturity]]+1,tblRisk[[#This Row],[Control Maturity]])</f>
        <v>3</v>
      </c>
      <c r="AU13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30" s="166">
        <f>IF(ISERROR(tblRisk[[#This Row],[Likelihood of Control Failure after SG]]),"",VLOOKUP(tblRisk[[#This Row],[Likelihood of Control Failure after SG]],tblLikelihood[#Data],2,FALSE))</f>
        <v>2</v>
      </c>
      <c r="AW130" s="159">
        <f>tblRisk[[#This Row],[Impact to Mission]]</f>
        <v>3</v>
      </c>
      <c r="AX130" s="159">
        <f>tblRisk[[#This Row],[Impact to Objectives]]</f>
        <v>3</v>
      </c>
      <c r="AY130" s="159">
        <f>tblRisk[[#This Row],[Impact to Obligations]]</f>
        <v>4</v>
      </c>
      <c r="AZ130" s="166">
        <f>IF(ISBLANK(tblRisk[[#This Row],[Impact to Mission With Safeguard in Place]]),"",MAX(tblRisk[[#This Row],[Impact to Mission With Safeguard in Place]:[Impact to Obligations With Safeguard in Place]]))</f>
        <v>4</v>
      </c>
      <c r="BA130" s="167">
        <f>IF(ISERROR(tblRisk[[#This Row],[Impact Score with Safeguard in Place]]*tblRisk[[#This Row],[Likelihood Score with Safeguard in Place]]),"",tblRisk[[#This Row],[Impact Score with Safeguard in Place]]*tblRisk[[#This Row],[Likelihood Score with Safeguard in Place]])</f>
        <v>8</v>
      </c>
      <c r="BB130" s="164">
        <f>tblRisk[[#This Row],[Risk Score With Safeguard in Place]]</f>
        <v>8</v>
      </c>
      <c r="BC130" s="168" t="str">
        <f>IF(tblRisk[[#This Row],[Risk Treatment Option]]&lt;&gt;"Accept",IF(_xlfn.XLOOKUP(tblRisk[[#This Row],[Specific Safeguard Recommendation]],ProTrak[Task],ProTrak[Status],"Not Found")="Completed","Pending Validation","Pending"),"")</f>
        <v>Pending</v>
      </c>
      <c r="BD130" s="169" t="str">
        <f>_xlfn.XLOOKUP(tblRisk[[#This Row],[Risk Treatment Program]],tblRiskTreatmentPrograms[Risk Treatment Program],tblRiskTreatmentPrograms[Estimated End Date (MM/DD/YYYY)],"")</f>
        <v>TBD</v>
      </c>
      <c r="BE130" s="170"/>
      <c r="BF130" s="171" t="str">
        <f>_xlfn.IFNA(IF(tblRisk[[#This Row],[Due Date]]&lt;=vWhatIfQuarter,"Closed",""),"")</f>
        <v/>
      </c>
      <c r="BG130" s="171">
        <f>IF(tblRisk[[#This Row],[Scenario Builder Status]]="Closed",tblRisk[[#This Row],[Risk Score With Safeguard in Place]],tblRisk[[#This Row],[Risk Score]])</f>
        <v>12</v>
      </c>
      <c r="BH130" s="192" t="str">
        <f>tblRisk[[#This Row],[Common Security Program]]&amp;tblRisk[[#This Row],[Common Security Control]]&amp;tblRisk[[#This Row],[Asset Designation ]]</f>
        <v>Vulnerability ManagementGovernanceApplications</v>
      </c>
      <c r="BI130" s="191" t="s">
        <v>117</v>
      </c>
      <c r="BJ130" s="191"/>
      <c r="BK130" s="191"/>
      <c r="BL130" s="191"/>
      <c r="BM130" s="191"/>
      <c r="BN130" s="191"/>
      <c r="BO130" s="191"/>
      <c r="BP130" s="191"/>
      <c r="BQ130" s="191"/>
    </row>
    <row r="131" spans="1:69" ht="299.25" x14ac:dyDescent="0.65">
      <c r="A131" s="160">
        <v>128</v>
      </c>
      <c r="B131" s="160" t="s">
        <v>899</v>
      </c>
      <c r="C131" s="19" t="s">
        <v>998</v>
      </c>
      <c r="D131" s="28" t="s">
        <v>1249</v>
      </c>
      <c r="E131" s="207" t="s">
        <v>1092</v>
      </c>
      <c r="F131" s="194"/>
      <c r="G131" s="194" t="s">
        <v>117</v>
      </c>
      <c r="H131" s="194" t="s">
        <v>117</v>
      </c>
      <c r="I131" s="194" t="s">
        <v>1081</v>
      </c>
      <c r="J131" s="194" t="s">
        <v>1080</v>
      </c>
      <c r="K131" s="194" t="s">
        <v>1081</v>
      </c>
      <c r="L131" s="194" t="s">
        <v>1081</v>
      </c>
      <c r="M131" s="194" t="s">
        <v>1081</v>
      </c>
      <c r="N131" s="194">
        <f>COUNTIF(tblRisk[[#This Row],[Defends Against Malware]:[Defends Against Targeted Intrusions]],"Yes")</f>
        <v>4</v>
      </c>
      <c r="O131" s="160" t="s">
        <v>22</v>
      </c>
      <c r="P131" s="160" t="s">
        <v>88</v>
      </c>
      <c r="Q131" s="160" t="s">
        <v>1109</v>
      </c>
      <c r="R131" s="160" t="s">
        <v>1083</v>
      </c>
      <c r="S131" s="160" t="s">
        <v>1431</v>
      </c>
      <c r="T131" s="160" t="s">
        <v>1429</v>
      </c>
      <c r="U131" s="160" t="s">
        <v>1430</v>
      </c>
      <c r="V131" s="160" t="s">
        <v>1685</v>
      </c>
      <c r="W131" s="160" t="s">
        <v>1709</v>
      </c>
      <c r="X131" s="160" t="s">
        <v>1853</v>
      </c>
      <c r="Y131" s="151">
        <f>IF(ISBLANK(tblRisk[[#This Row],[Threat Cluster]]),"",_xlfn.XLOOKUP(tblRisk[[#This Row],[Threat Cluster]],tblHIT[Threat Cluster],tblHIT[Quintile]))</f>
        <v>1</v>
      </c>
      <c r="Z131" s="152">
        <v>4</v>
      </c>
      <c r="AA131" s="153" t="str">
        <f>IF(OR(ISBLANK(tblRisk[[#This Row],[HIT Quintile]]),ISBLANK(tblRisk[[#This Row],[Control Maturity]])),"",_xlfn.XLOOKUP(tblRisk[[#This Row],[Control Maturity]] &amp; tblRisk[[#This Row],[HIT Quintile]],tblHITWDI[Lookup],tblHITWDI[Likelihood Description]))</f>
        <v>Not Foreseeable</v>
      </c>
      <c r="AB131" s="161">
        <f>IF(ISERROR(tblRisk[[#This Row],[Likelihood of Control Failure]]),"",VLOOKUP(tblRisk[[#This Row],[Likelihood of Control Failure]],tblLikelihood[],2,FALSE))</f>
        <v>1</v>
      </c>
      <c r="AC131" s="154">
        <v>3</v>
      </c>
      <c r="AD131" s="155">
        <v>3</v>
      </c>
      <c r="AE131" s="155">
        <v>4</v>
      </c>
      <c r="AF131" s="162">
        <f>IF(ISBLANK(tblRisk[[#This Row],[Impact to Mission]]),"",MAX(tblRisk[[#This Row],[Impact to Mission]:[Impact to Obligations]]))</f>
        <v>4</v>
      </c>
      <c r="AG131" s="163">
        <f>IF(ISERROR(tblRisk[[#This Row],[Impact Score]]*tblRisk[[#This Row],[Likelihood Score]]),"",tblRisk[[#This Row],[Likelihood Score]]*tblRisk[[#This Row],[Impact Score]])</f>
        <v>4</v>
      </c>
      <c r="AH131" s="163">
        <f>tblRisk[[#This Row],[Risk Score]]</f>
        <v>4</v>
      </c>
      <c r="AI131" s="164">
        <f t="shared" si="3"/>
        <v>9</v>
      </c>
      <c r="AJ131" s="164">
        <f>IF(tblRisk[[#This Row],[Safeguard Status]]="In Place",tblRisk[[#This Row],[Control Maturity after SG]],tblRisk[[#This Row],[Control Maturity]])</f>
        <v>4</v>
      </c>
      <c r="AK131" s="173" t="str">
        <f>IF(tblRisk[[#This Row],[Safeguard Status]]="In Place",tblRisk[[#This Row],[Safeguard Threat Cluster]],tblRisk[[#This Row],[Threat Cluster]])</f>
        <v>Hacking web</v>
      </c>
      <c r="AL131" s="164">
        <f>IF(tblRisk[[#This Row],[Safeguard Status]]="In Place",tblRisk[[#This Row],[Risk Level With Safeguard in Place]],tblRisk[[#This Row],[Risk Level]])</f>
        <v>4</v>
      </c>
      <c r="AM131" s="165" t="s">
        <v>1887</v>
      </c>
      <c r="AN131" s="165" t="str">
        <f>IF(tblRisk[[#This Row],[Risk Treatment Option]]="Manage",_xlfn.IFNA(INDEX(tblRiskTreatmentPrograms[#Data],MATCH(tblRisk[[#This Row],[Common Security Program]]&amp;tblRisk[[#This Row],[Common Security Control]],tblRiskTreatmentPrograms[Lookup],0),MATCH($AN$3,tblRiskTreatmentPrograms[#Headers],0)),txtBadRTP),"")</f>
        <v/>
      </c>
      <c r="AO131" s="165" t="str">
        <f>IF(tblRisk[[#This Row],[Risk Treatment Program]]="","",INDEX(tblRiskTreatmentPrograms[#Data],MATCH(tblRisk[[#This Row],[Risk Treatment Program]],tblRiskTreatmentPrograms[Risk Treatment Program],0),MATCH($AO$3,tblRiskTreatmentPrograms[#Headers],0)))</f>
        <v/>
      </c>
      <c r="AP131" s="165"/>
      <c r="AQ13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1" s="19" t="str">
        <f>tblRisk[[#This Row],[Threat Cluster]]</f>
        <v>Hacking web</v>
      </c>
      <c r="AS131" s="156">
        <f>IF(ISBLANK(tblRisk[[#This Row],[Safeguard Threat Cluster]]),"",_xlfn.XLOOKUP(tblRisk[[#This Row],[Safeguard Threat Cluster]],tblHIT[Threat Cluster],tblHIT[Quintile]))</f>
        <v>1</v>
      </c>
      <c r="AT131" s="157">
        <f>_xlfn.SWITCH(tblRisk[[#This Row],[Risk Treatment Option]],"Manage",tblRisk[[#This Row],[Control Maturity]]+1,tblRisk[[#This Row],[Control Maturity]])</f>
        <v>4</v>
      </c>
      <c r="AU131" s="158" t="str">
        <f>IF(OR(ISBLANK(tblRisk[[#This Row],[Safeguard HIT Quintile]]),ISBLANK(tblRisk[[#This Row],[Control Maturity after SG]])),"",_xlfn.XLOOKUP(tblRisk[[#This Row],[Control Maturity after SG]] &amp;tblRisk[[#This Row],[Safeguard HIT Quintile]],tblHITWDI[Lookup],tblHITWDI[Likelihood Description]))</f>
        <v>Not Foreseeable</v>
      </c>
      <c r="AV131" s="166">
        <f>IF(ISERROR(tblRisk[[#This Row],[Likelihood of Control Failure after SG]]),"",VLOOKUP(tblRisk[[#This Row],[Likelihood of Control Failure after SG]],tblLikelihood[#Data],2,FALSE))</f>
        <v>1</v>
      </c>
      <c r="AW131" s="159">
        <f>tblRisk[[#This Row],[Impact to Mission]]</f>
        <v>3</v>
      </c>
      <c r="AX131" s="159">
        <f>tblRisk[[#This Row],[Impact to Objectives]]</f>
        <v>3</v>
      </c>
      <c r="AY131" s="159">
        <f>tblRisk[[#This Row],[Impact to Obligations]]</f>
        <v>4</v>
      </c>
      <c r="AZ131" s="166">
        <f>IF(ISBLANK(tblRisk[[#This Row],[Impact to Mission With Safeguard in Place]]),"",MAX(tblRisk[[#This Row],[Impact to Mission With Safeguard in Place]:[Impact to Obligations With Safeguard in Place]]))</f>
        <v>4</v>
      </c>
      <c r="BA131" s="167">
        <f>IF(ISERROR(tblRisk[[#This Row],[Impact Score with Safeguard in Place]]*tblRisk[[#This Row],[Likelihood Score with Safeguard in Place]]),"",tblRisk[[#This Row],[Impact Score with Safeguard in Place]]*tblRisk[[#This Row],[Likelihood Score with Safeguard in Place]])</f>
        <v>4</v>
      </c>
      <c r="BB131" s="164">
        <f>tblRisk[[#This Row],[Risk Score With Safeguard in Place]]</f>
        <v>4</v>
      </c>
      <c r="BC131" s="168" t="str">
        <f>IF(tblRisk[[#This Row],[Risk Treatment Option]]&lt;&gt;"Accept",IF(_xlfn.XLOOKUP(tblRisk[[#This Row],[Specific Safeguard Recommendation]],ProTrak[Task],ProTrak[Status],"Not Found")="Completed","Pending Validation","Pending"),"")</f>
        <v/>
      </c>
      <c r="BD131" s="169" t="str">
        <f>_xlfn.XLOOKUP(tblRisk[[#This Row],[Risk Treatment Program]],tblRiskTreatmentPrograms[Risk Treatment Program],tblRiskTreatmentPrograms[Estimated End Date (MM/DD/YYYY)],"")</f>
        <v/>
      </c>
      <c r="BE131" s="170"/>
      <c r="BF131" s="171" t="str">
        <f>_xlfn.IFNA(IF(tblRisk[[#This Row],[Due Date]]&lt;=vWhatIfQuarter,"Closed",""),"")</f>
        <v/>
      </c>
      <c r="BG131" s="171">
        <f>IF(tblRisk[[#This Row],[Scenario Builder Status]]="Closed",tblRisk[[#This Row],[Risk Score With Safeguard in Place]],tblRisk[[#This Row],[Risk Score]])</f>
        <v>4</v>
      </c>
      <c r="BH131" s="192" t="str">
        <f>tblRisk[[#This Row],[Common Security Program]]&amp;tblRisk[[#This Row],[Common Security Control]]&amp;tblRisk[[#This Row],[Asset Designation ]]</f>
        <v>Vulnerability ManagementOperationApplications</v>
      </c>
      <c r="BI131" s="191" t="s">
        <v>117</v>
      </c>
      <c r="BJ131" s="191"/>
      <c r="BK131" s="191"/>
      <c r="BL131" s="191"/>
      <c r="BM131" s="191"/>
      <c r="BN131" s="191"/>
      <c r="BO131" s="191"/>
      <c r="BP131" s="191"/>
      <c r="BQ131" s="191"/>
    </row>
    <row r="132" spans="1:69" ht="204.75" x14ac:dyDescent="0.65">
      <c r="A132" s="160">
        <v>129</v>
      </c>
      <c r="B132" s="160" t="s">
        <v>899</v>
      </c>
      <c r="C132" s="19" t="s">
        <v>1045</v>
      </c>
      <c r="D132" s="28" t="s">
        <v>1250</v>
      </c>
      <c r="E132" s="207" t="s">
        <v>1092</v>
      </c>
      <c r="F132" s="194"/>
      <c r="G132" s="194" t="s">
        <v>117</v>
      </c>
      <c r="H132" s="194" t="s">
        <v>117</v>
      </c>
      <c r="I132" s="194" t="s">
        <v>1081</v>
      </c>
      <c r="J132" s="194" t="s">
        <v>1080</v>
      </c>
      <c r="K132" s="194" t="s">
        <v>1081</v>
      </c>
      <c r="L132" s="194" t="s">
        <v>1081</v>
      </c>
      <c r="M132" s="194" t="s">
        <v>1081</v>
      </c>
      <c r="N132" s="194">
        <f>COUNTIF(tblRisk[[#This Row],[Defends Against Malware]:[Defends Against Targeted Intrusions]],"Yes")</f>
        <v>4</v>
      </c>
      <c r="O132" s="160" t="s">
        <v>16</v>
      </c>
      <c r="P132" s="160" t="s">
        <v>86</v>
      </c>
      <c r="Q132" s="160" t="s">
        <v>1109</v>
      </c>
      <c r="R132" s="160" t="s">
        <v>1083</v>
      </c>
      <c r="S132" s="160" t="s">
        <v>1087</v>
      </c>
      <c r="T132" s="160" t="s">
        <v>1405</v>
      </c>
      <c r="U132" s="160" t="s">
        <v>1406</v>
      </c>
      <c r="V132" s="19" t="s">
        <v>1689</v>
      </c>
      <c r="W132" s="160" t="s">
        <v>1854</v>
      </c>
      <c r="X132" s="160" t="s">
        <v>1855</v>
      </c>
      <c r="Y132" s="151">
        <f>IF(ISBLANK(tblRisk[[#This Row],[Threat Cluster]]),"",_xlfn.XLOOKUP(tblRisk[[#This Row],[Threat Cluster]],tblHIT[Threat Cluster],tblHIT[Quintile]))</f>
        <v>1</v>
      </c>
      <c r="Z132" s="152">
        <v>2</v>
      </c>
      <c r="AA132" s="153" t="str">
        <f>IF(OR(ISBLANK(tblRisk[[#This Row],[HIT Quintile]]),ISBLANK(tblRisk[[#This Row],[Control Maturity]])),"",_xlfn.XLOOKUP(tblRisk[[#This Row],[Control Maturity]] &amp; tblRisk[[#This Row],[HIT Quintile]],tblHITWDI[Lookup],tblHITWDI[Likelihood Description]))</f>
        <v>Foreseeable, expected</v>
      </c>
      <c r="AB132" s="161">
        <f>IF(ISERROR(tblRisk[[#This Row],[Likelihood of Control Failure]]),"",VLOOKUP(tblRisk[[#This Row],[Likelihood of Control Failure]],tblLikelihood[],2,FALSE))</f>
        <v>3</v>
      </c>
      <c r="AC132" s="154">
        <v>3</v>
      </c>
      <c r="AD132" s="155">
        <v>3</v>
      </c>
      <c r="AE132" s="155">
        <v>4</v>
      </c>
      <c r="AF132" s="162">
        <f>IF(ISBLANK(tblRisk[[#This Row],[Impact to Mission]]),"",MAX(tblRisk[[#This Row],[Impact to Mission]:[Impact to Obligations]]))</f>
        <v>4</v>
      </c>
      <c r="AG132" s="163">
        <f>IF(ISERROR(tblRisk[[#This Row],[Impact Score]]*tblRisk[[#This Row],[Likelihood Score]]),"",tblRisk[[#This Row],[Likelihood Score]]*tblRisk[[#This Row],[Impact Score]])</f>
        <v>12</v>
      </c>
      <c r="AH132" s="163">
        <f>tblRisk[[#This Row],[Risk Score]]</f>
        <v>12</v>
      </c>
      <c r="AI132" s="164">
        <f t="shared" si="3"/>
        <v>9</v>
      </c>
      <c r="AJ132" s="164">
        <f>IF(tblRisk[[#This Row],[Safeguard Status]]="In Place",tblRisk[[#This Row],[Control Maturity after SG]],tblRisk[[#This Row],[Control Maturity]])</f>
        <v>3</v>
      </c>
      <c r="AK132" s="173" t="str">
        <f>IF(tblRisk[[#This Row],[Safeguard Status]]="In Place",tblRisk[[#This Row],[Safeguard Threat Cluster]],tblRisk[[#This Row],[Threat Cluster]])</f>
        <v>Hacking web</v>
      </c>
      <c r="AL132" s="164">
        <f>IF(tblRisk[[#This Row],[Safeguard Status]]="In Place",tblRisk[[#This Row],[Risk Level With Safeguard in Place]],tblRisk[[#This Row],[Risk Level]])</f>
        <v>8</v>
      </c>
      <c r="AM132" s="165" t="s">
        <v>1564</v>
      </c>
      <c r="AN132" s="165" t="str">
        <f>IF(tblRisk[[#This Row],[Risk Treatment Option]]="Manage",_xlfn.IFNA(INDEX(tblRiskTreatmentPrograms[#Data],MATCH(tblRisk[[#This Row],[Common Security Program]]&amp;tblRisk[[#This Row],[Common Security Control]],tblRiskTreatmentPrograms[Lookup],0),MATCH($AN$3,tblRiskTreatmentPrograms[#Headers],0)),txtBadRTP),"")</f>
        <v>Establish Organizational Information Security Secure Application Development</v>
      </c>
      <c r="AO132" s="165" t="str">
        <f>IF(tblRisk[[#This Row],[Risk Treatment Program]]="","",INDEX(tblRiskTreatmentPrograms[#Data],MATCH(tblRisk[[#This Row],[Risk Treatment Program]],tblRiskTreatmentPrograms[Risk Treatment Program],0),MATCH($AO$3,tblRiskTreatmentPrograms[#Headers],0)))</f>
        <v xml:space="preserve">Ensure that policies, standards, etc. establish the foundation for Secure Application Development:
 * define Secure Application Development requirements including architecture, development integration, compliance obligations, outsourcing, data protection, etc.;
 * establish Secure Application Development procedures in support of the System Development Lifecycle (SDLC), including initiation, design, development, testing, production migration, and support;
 * require periodic training for Application Development and Support resources to address evolving secure coding techniques;
 * define reporting and performance measurement;
 * review, update, and approval of Secure Application Development documentation; and
 * communication of Secure Application Development policies and processes.
</v>
      </c>
      <c r="AP132" s="165" t="s">
        <v>1899</v>
      </c>
      <c r="AQ13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32" s="19" t="str">
        <f>tblRisk[[#This Row],[Threat Cluster]]</f>
        <v>Hacking web</v>
      </c>
      <c r="AS132" s="156">
        <f>IF(ISBLANK(tblRisk[[#This Row],[Safeguard Threat Cluster]]),"",_xlfn.XLOOKUP(tblRisk[[#This Row],[Safeguard Threat Cluster]],tblHIT[Threat Cluster],tblHIT[Quintile]))</f>
        <v>1</v>
      </c>
      <c r="AT132" s="157">
        <f>_xlfn.SWITCH(tblRisk[[#This Row],[Risk Treatment Option]],"Manage",tblRisk[[#This Row],[Control Maturity]]+1,tblRisk[[#This Row],[Control Maturity]])</f>
        <v>3</v>
      </c>
      <c r="AU13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32" s="166">
        <f>IF(ISERROR(tblRisk[[#This Row],[Likelihood of Control Failure after SG]]),"",VLOOKUP(tblRisk[[#This Row],[Likelihood of Control Failure after SG]],tblLikelihood[#Data],2,FALSE))</f>
        <v>2</v>
      </c>
      <c r="AW132" s="159">
        <f>tblRisk[[#This Row],[Impact to Mission]]</f>
        <v>3</v>
      </c>
      <c r="AX132" s="159">
        <f>tblRisk[[#This Row],[Impact to Objectives]]</f>
        <v>3</v>
      </c>
      <c r="AY132" s="159">
        <f>tblRisk[[#This Row],[Impact to Obligations]]</f>
        <v>4</v>
      </c>
      <c r="AZ132" s="166">
        <f>IF(ISBLANK(tblRisk[[#This Row],[Impact to Mission With Safeguard in Place]]),"",MAX(tblRisk[[#This Row],[Impact to Mission With Safeguard in Place]:[Impact to Obligations With Safeguard in Place]]))</f>
        <v>4</v>
      </c>
      <c r="BA132" s="167">
        <f>IF(ISERROR(tblRisk[[#This Row],[Impact Score with Safeguard in Place]]*tblRisk[[#This Row],[Likelihood Score with Safeguard in Place]]),"",tblRisk[[#This Row],[Impact Score with Safeguard in Place]]*tblRisk[[#This Row],[Likelihood Score with Safeguard in Place]])</f>
        <v>8</v>
      </c>
      <c r="BB132" s="164">
        <f>tblRisk[[#This Row],[Risk Score With Safeguard in Place]]</f>
        <v>8</v>
      </c>
      <c r="BC132" s="168" t="s">
        <v>620</v>
      </c>
      <c r="BD132" s="169" t="str">
        <f>_xlfn.XLOOKUP(tblRisk[[#This Row],[Risk Treatment Program]],tblRiskTreatmentPrograms[Risk Treatment Program],tblRiskTreatmentPrograms[Estimated End Date (MM/DD/YYYY)],"")</f>
        <v>TBD</v>
      </c>
      <c r="BE132" s="170"/>
      <c r="BF132" s="171" t="str">
        <f>_xlfn.IFNA(IF(tblRisk[[#This Row],[Due Date]]&lt;=vWhatIfQuarter,"Closed",""),"")</f>
        <v/>
      </c>
      <c r="BG132" s="171">
        <f>IF(tblRisk[[#This Row],[Scenario Builder Status]]="Closed",tblRisk[[#This Row],[Risk Score With Safeguard in Place]],tblRisk[[#This Row],[Risk Score]])</f>
        <v>12</v>
      </c>
      <c r="BH132" s="192" t="str">
        <f>tblRisk[[#This Row],[Common Security Program]]&amp;tblRisk[[#This Row],[Common Security Control]]&amp;tblRisk[[#This Row],[Asset Designation ]]</f>
        <v>Secure Application DevelopmentGovernanceApplications</v>
      </c>
      <c r="BI132" s="191" t="s">
        <v>117</v>
      </c>
      <c r="BJ132" s="191"/>
      <c r="BK132" s="191"/>
      <c r="BL132" s="191"/>
      <c r="BM132" s="191"/>
      <c r="BN132" s="191"/>
      <c r="BO132" s="191"/>
      <c r="BP132" s="191"/>
      <c r="BQ132" s="191"/>
    </row>
    <row r="133" spans="1:69" ht="47.25" x14ac:dyDescent="0.65">
      <c r="A133" s="160">
        <v>130</v>
      </c>
      <c r="B133" s="160" t="s">
        <v>899</v>
      </c>
      <c r="C133" s="19" t="s">
        <v>999</v>
      </c>
      <c r="D133" s="28" t="s">
        <v>1251</v>
      </c>
      <c r="E133" s="207" t="s">
        <v>1092</v>
      </c>
      <c r="F133" s="194"/>
      <c r="G133" s="194" t="s">
        <v>117</v>
      </c>
      <c r="H133" s="194" t="s">
        <v>117</v>
      </c>
      <c r="I133" s="194" t="s">
        <v>1081</v>
      </c>
      <c r="J133" s="194" t="s">
        <v>1080</v>
      </c>
      <c r="K133" s="194" t="s">
        <v>1081</v>
      </c>
      <c r="L133" s="194" t="s">
        <v>1081</v>
      </c>
      <c r="M133" s="194" t="s">
        <v>1081</v>
      </c>
      <c r="N133" s="194">
        <f>COUNTIF(tblRisk[[#This Row],[Defends Against Malware]:[Defends Against Targeted Intrusions]],"Yes")</f>
        <v>4</v>
      </c>
      <c r="O133" s="160" t="s">
        <v>16</v>
      </c>
      <c r="P133" s="160" t="s">
        <v>88</v>
      </c>
      <c r="Q133" s="160" t="s">
        <v>1109</v>
      </c>
      <c r="R133" s="160" t="s">
        <v>1083</v>
      </c>
      <c r="S133" s="160" t="s">
        <v>1408</v>
      </c>
      <c r="T133" s="160" t="s">
        <v>1407</v>
      </c>
      <c r="U133" s="160" t="s">
        <v>1406</v>
      </c>
      <c r="V133" s="19" t="s">
        <v>1690</v>
      </c>
      <c r="W133" s="160" t="s">
        <v>1709</v>
      </c>
      <c r="X133" s="160" t="s">
        <v>1856</v>
      </c>
      <c r="Y133" s="151">
        <f>IF(ISBLANK(tblRisk[[#This Row],[Threat Cluster]]),"",_xlfn.XLOOKUP(tblRisk[[#This Row],[Threat Cluster]],tblHIT[Threat Cluster],tblHIT[Quintile]))</f>
        <v>1</v>
      </c>
      <c r="Z133" s="152">
        <v>4</v>
      </c>
      <c r="AA133" s="153" t="str">
        <f>IF(OR(ISBLANK(tblRisk[[#This Row],[HIT Quintile]]),ISBLANK(tblRisk[[#This Row],[Control Maturity]])),"",_xlfn.XLOOKUP(tblRisk[[#This Row],[Control Maturity]] &amp; tblRisk[[#This Row],[HIT Quintile]],tblHITWDI[Lookup],tblHITWDI[Likelihood Description]))</f>
        <v>Not Foreseeable</v>
      </c>
      <c r="AB133" s="161">
        <f>IF(ISERROR(tblRisk[[#This Row],[Likelihood of Control Failure]]),"",VLOOKUP(tblRisk[[#This Row],[Likelihood of Control Failure]],tblLikelihood[],2,FALSE))</f>
        <v>1</v>
      </c>
      <c r="AC133" s="154">
        <v>3</v>
      </c>
      <c r="AD133" s="155">
        <v>3</v>
      </c>
      <c r="AE133" s="155">
        <v>4</v>
      </c>
      <c r="AF133" s="162">
        <f>IF(ISBLANK(tblRisk[[#This Row],[Impact to Mission]]),"",MAX(tblRisk[[#This Row],[Impact to Mission]:[Impact to Obligations]]))</f>
        <v>4</v>
      </c>
      <c r="AG133" s="163">
        <f>IF(ISERROR(tblRisk[[#This Row],[Impact Score]]*tblRisk[[#This Row],[Likelihood Score]]),"",tblRisk[[#This Row],[Likelihood Score]]*tblRisk[[#This Row],[Impact Score]])</f>
        <v>4</v>
      </c>
      <c r="AH133" s="163">
        <f>tblRisk[[#This Row],[Risk Score]]</f>
        <v>4</v>
      </c>
      <c r="AI133" s="164">
        <f t="shared" si="3"/>
        <v>9</v>
      </c>
      <c r="AJ133" s="164">
        <f>IF(tblRisk[[#This Row],[Safeguard Status]]="In Place",tblRisk[[#This Row],[Control Maturity after SG]],tblRisk[[#This Row],[Control Maturity]])</f>
        <v>4</v>
      </c>
      <c r="AK133" s="173" t="str">
        <f>IF(tblRisk[[#This Row],[Safeguard Status]]="In Place",tblRisk[[#This Row],[Safeguard Threat Cluster]],tblRisk[[#This Row],[Threat Cluster]])</f>
        <v>Hacking web</v>
      </c>
      <c r="AL133" s="164">
        <f>IF(tblRisk[[#This Row],[Safeguard Status]]="In Place",tblRisk[[#This Row],[Risk Level With Safeguard in Place]],tblRisk[[#This Row],[Risk Level]])</f>
        <v>4</v>
      </c>
      <c r="AM133" s="165" t="s">
        <v>1887</v>
      </c>
      <c r="AN133" s="165" t="str">
        <f>IF(tblRisk[[#This Row],[Risk Treatment Option]]="Manage",_xlfn.IFNA(INDEX(tblRiskTreatmentPrograms[#Data],MATCH(tblRisk[[#This Row],[Common Security Program]]&amp;tblRisk[[#This Row],[Common Security Control]],tblRiskTreatmentPrograms[Lookup],0),MATCH($AN$3,tblRiskTreatmentPrograms[#Headers],0)),txtBadRTP),"")</f>
        <v/>
      </c>
      <c r="AO133" s="165" t="str">
        <f>IF(tblRisk[[#This Row],[Risk Treatment Program]]="","",INDEX(tblRiskTreatmentPrograms[#Data],MATCH(tblRisk[[#This Row],[Risk Treatment Program]],tblRiskTreatmentPrograms[Risk Treatment Program],0),MATCH($AO$3,tblRiskTreatmentPrograms[#Headers],0)))</f>
        <v/>
      </c>
      <c r="AP133" s="165"/>
      <c r="AQ13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3" s="19" t="str">
        <f>tblRisk[[#This Row],[Threat Cluster]]</f>
        <v>Hacking web</v>
      </c>
      <c r="AS133" s="156">
        <f>IF(ISBLANK(tblRisk[[#This Row],[Safeguard Threat Cluster]]),"",_xlfn.XLOOKUP(tblRisk[[#This Row],[Safeguard Threat Cluster]],tblHIT[Threat Cluster],tblHIT[Quintile]))</f>
        <v>1</v>
      </c>
      <c r="AT133" s="157">
        <f>_xlfn.SWITCH(tblRisk[[#This Row],[Risk Treatment Option]],"Manage",tblRisk[[#This Row],[Control Maturity]]+1,tblRisk[[#This Row],[Control Maturity]])</f>
        <v>4</v>
      </c>
      <c r="AU133" s="158" t="str">
        <f>IF(OR(ISBLANK(tblRisk[[#This Row],[Safeguard HIT Quintile]]),ISBLANK(tblRisk[[#This Row],[Control Maturity after SG]])),"",_xlfn.XLOOKUP(tblRisk[[#This Row],[Control Maturity after SG]] &amp;tblRisk[[#This Row],[Safeguard HIT Quintile]],tblHITWDI[Lookup],tblHITWDI[Likelihood Description]))</f>
        <v>Not Foreseeable</v>
      </c>
      <c r="AV133" s="166">
        <f>IF(ISERROR(tblRisk[[#This Row],[Likelihood of Control Failure after SG]]),"",VLOOKUP(tblRisk[[#This Row],[Likelihood of Control Failure after SG]],tblLikelihood[#Data],2,FALSE))</f>
        <v>1</v>
      </c>
      <c r="AW133" s="159">
        <f>tblRisk[[#This Row],[Impact to Mission]]</f>
        <v>3</v>
      </c>
      <c r="AX133" s="159">
        <f>tblRisk[[#This Row],[Impact to Objectives]]</f>
        <v>3</v>
      </c>
      <c r="AY133" s="159">
        <f>tblRisk[[#This Row],[Impact to Obligations]]</f>
        <v>4</v>
      </c>
      <c r="AZ133" s="166">
        <f>IF(ISBLANK(tblRisk[[#This Row],[Impact to Mission With Safeguard in Place]]),"",MAX(tblRisk[[#This Row],[Impact to Mission With Safeguard in Place]:[Impact to Obligations With Safeguard in Place]]))</f>
        <v>4</v>
      </c>
      <c r="BA133" s="167">
        <f>IF(ISERROR(tblRisk[[#This Row],[Impact Score with Safeguard in Place]]*tblRisk[[#This Row],[Likelihood Score with Safeguard in Place]]),"",tblRisk[[#This Row],[Impact Score with Safeguard in Place]]*tblRisk[[#This Row],[Likelihood Score with Safeguard in Place]])</f>
        <v>4</v>
      </c>
      <c r="BB133" s="164">
        <f>tblRisk[[#This Row],[Risk Score With Safeguard in Place]]</f>
        <v>4</v>
      </c>
      <c r="BC133" s="168" t="str">
        <f>IF(tblRisk[[#This Row],[Risk Treatment Option]]&lt;&gt;"Accept",IF(_xlfn.XLOOKUP(tblRisk[[#This Row],[Specific Safeguard Recommendation]],ProTrak[Task],ProTrak[Status],"Not Found")="Completed","Pending Validation","Pending"),"")</f>
        <v/>
      </c>
      <c r="BD133" s="169" t="str">
        <f>_xlfn.XLOOKUP(tblRisk[[#This Row],[Risk Treatment Program]],tblRiskTreatmentPrograms[Risk Treatment Program],tblRiskTreatmentPrograms[Estimated End Date (MM/DD/YYYY)],"")</f>
        <v/>
      </c>
      <c r="BE133" s="170"/>
      <c r="BF133" s="171" t="str">
        <f>_xlfn.IFNA(IF(tblRisk[[#This Row],[Due Date]]&lt;=vWhatIfQuarter,"Closed",""),"")</f>
        <v/>
      </c>
      <c r="BG133" s="171">
        <f>IF(tblRisk[[#This Row],[Scenario Builder Status]]="Closed",tblRisk[[#This Row],[Risk Score With Safeguard in Place]],tblRisk[[#This Row],[Risk Score]])</f>
        <v>4</v>
      </c>
      <c r="BH133" s="192" t="str">
        <f>tblRisk[[#This Row],[Common Security Program]]&amp;tblRisk[[#This Row],[Common Security Control]]&amp;tblRisk[[#This Row],[Asset Designation ]]</f>
        <v>Secure Application DevelopmentOperationApplications</v>
      </c>
      <c r="BI133" s="191" t="s">
        <v>117</v>
      </c>
      <c r="BJ133" s="191"/>
      <c r="BK133" s="191"/>
      <c r="BL133" s="191"/>
      <c r="BM133" s="191"/>
      <c r="BN133" s="191"/>
      <c r="BO133" s="191"/>
      <c r="BP133" s="191"/>
      <c r="BQ133" s="191"/>
    </row>
    <row r="134" spans="1:69" ht="63" x14ac:dyDescent="0.65">
      <c r="A134" s="160">
        <v>131</v>
      </c>
      <c r="B134" s="160" t="s">
        <v>899</v>
      </c>
      <c r="C134" s="19" t="s">
        <v>1046</v>
      </c>
      <c r="D134" s="28" t="s">
        <v>1252</v>
      </c>
      <c r="E134" s="207" t="s">
        <v>1092</v>
      </c>
      <c r="F134" s="194"/>
      <c r="G134" s="194" t="s">
        <v>117</v>
      </c>
      <c r="H134" s="194" t="s">
        <v>117</v>
      </c>
      <c r="I134" s="194" t="s">
        <v>1080</v>
      </c>
      <c r="J134" s="194" t="s">
        <v>1080</v>
      </c>
      <c r="K134" s="194" t="s">
        <v>1080</v>
      </c>
      <c r="L134" s="194" t="s">
        <v>1080</v>
      </c>
      <c r="M134" s="194" t="s">
        <v>1080</v>
      </c>
      <c r="N134" s="194">
        <f>COUNTIF(tblRisk[[#This Row],[Defends Against Malware]:[Defends Against Targeted Intrusions]],"Yes")</f>
        <v>0</v>
      </c>
      <c r="O134" s="160" t="s">
        <v>22</v>
      </c>
      <c r="P134" s="160" t="s">
        <v>86</v>
      </c>
      <c r="Q134" s="160" t="s">
        <v>1109</v>
      </c>
      <c r="R134" s="160" t="s">
        <v>1083</v>
      </c>
      <c r="S134" s="160" t="s">
        <v>1087</v>
      </c>
      <c r="T134" s="160" t="s">
        <v>1427</v>
      </c>
      <c r="U134" s="160" t="s">
        <v>1428</v>
      </c>
      <c r="V134" s="19" t="s">
        <v>1691</v>
      </c>
      <c r="W134" s="160" t="s">
        <v>1857</v>
      </c>
      <c r="X134" s="160" t="s">
        <v>1858</v>
      </c>
      <c r="Y134" s="151">
        <f>IF(ISBLANK(tblRisk[[#This Row],[Threat Cluster]]),"",_xlfn.XLOOKUP(tblRisk[[#This Row],[Threat Cluster]],tblHIT[Threat Cluster],tblHIT[Quintile]))</f>
        <v>1</v>
      </c>
      <c r="Z134" s="152">
        <v>2</v>
      </c>
      <c r="AA134" s="153" t="str">
        <f>IF(OR(ISBLANK(tblRisk[[#This Row],[HIT Quintile]]),ISBLANK(tblRisk[[#This Row],[Control Maturity]])),"",_xlfn.XLOOKUP(tblRisk[[#This Row],[Control Maturity]] &amp; tblRisk[[#This Row],[HIT Quintile]],tblHITWDI[Lookup],tblHITWDI[Likelihood Description]))</f>
        <v>Foreseeable, expected</v>
      </c>
      <c r="AB134" s="161">
        <f>IF(ISERROR(tblRisk[[#This Row],[Likelihood of Control Failure]]),"",VLOOKUP(tblRisk[[#This Row],[Likelihood of Control Failure]],tblLikelihood[],2,FALSE))</f>
        <v>3</v>
      </c>
      <c r="AC134" s="154">
        <v>2</v>
      </c>
      <c r="AD134" s="155">
        <v>2</v>
      </c>
      <c r="AE134" s="155">
        <v>2</v>
      </c>
      <c r="AF134" s="162">
        <f>IF(ISBLANK(tblRisk[[#This Row],[Impact to Mission]]),"",MAX(tblRisk[[#This Row],[Impact to Mission]:[Impact to Obligations]]))</f>
        <v>2</v>
      </c>
      <c r="AG134" s="163">
        <f>IF(ISERROR(tblRisk[[#This Row],[Impact Score]]*tblRisk[[#This Row],[Likelihood Score]]),"",tblRisk[[#This Row],[Likelihood Score]]*tblRisk[[#This Row],[Impact Score]])</f>
        <v>6</v>
      </c>
      <c r="AH134" s="163">
        <f>tblRisk[[#This Row],[Risk Score]]</f>
        <v>6</v>
      </c>
      <c r="AI134" s="164">
        <f t="shared" si="3"/>
        <v>9</v>
      </c>
      <c r="AJ134" s="164">
        <f>IF(tblRisk[[#This Row],[Safeguard Status]]="In Place",tblRisk[[#This Row],[Control Maturity after SG]],tblRisk[[#This Row],[Control Maturity]])</f>
        <v>2</v>
      </c>
      <c r="AK134" s="173" t="str">
        <f>IF(tblRisk[[#This Row],[Safeguard Status]]="In Place",tblRisk[[#This Row],[Safeguard Threat Cluster]],tblRisk[[#This Row],[Threat Cluster]])</f>
        <v>Hacking web</v>
      </c>
      <c r="AL134" s="164">
        <f>IF(tblRisk[[#This Row],[Safeguard Status]]="In Place",tblRisk[[#This Row],[Risk Level With Safeguard in Place]],tblRisk[[#This Row],[Risk Level]])</f>
        <v>6</v>
      </c>
      <c r="AM134" s="165" t="s">
        <v>1887</v>
      </c>
      <c r="AN134" s="165" t="str">
        <f>IF(tblRisk[[#This Row],[Risk Treatment Option]]="Manage",_xlfn.IFNA(INDEX(tblRiskTreatmentPrograms[#Data],MATCH(tblRisk[[#This Row],[Common Security Program]]&amp;tblRisk[[#This Row],[Common Security Control]],tblRiskTreatmentPrograms[Lookup],0),MATCH($AN$3,tblRiskTreatmentPrograms[#Headers],0)),txtBadRTP),"")</f>
        <v/>
      </c>
      <c r="AO134" s="165" t="str">
        <f>IF(tblRisk[[#This Row],[Risk Treatment Program]]="","",INDEX(tblRiskTreatmentPrograms[#Data],MATCH(tblRisk[[#This Row],[Risk Treatment Program]],tblRiskTreatmentPrograms[Risk Treatment Program],0),MATCH($AO$3,tblRiskTreatmentPrograms[#Headers],0)))</f>
        <v/>
      </c>
      <c r="AP134" s="165"/>
      <c r="AQ13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4" s="19" t="str">
        <f>tblRisk[[#This Row],[Threat Cluster]]</f>
        <v>Hacking web</v>
      </c>
      <c r="AS134" s="156">
        <f>IF(ISBLANK(tblRisk[[#This Row],[Safeguard Threat Cluster]]),"",_xlfn.XLOOKUP(tblRisk[[#This Row],[Safeguard Threat Cluster]],tblHIT[Threat Cluster],tblHIT[Quintile]))</f>
        <v>1</v>
      </c>
      <c r="AT134" s="157">
        <f>_xlfn.SWITCH(tblRisk[[#This Row],[Risk Treatment Option]],"Manage",tblRisk[[#This Row],[Control Maturity]]+1,tblRisk[[#This Row],[Control Maturity]])</f>
        <v>2</v>
      </c>
      <c r="AU134" s="158" t="str">
        <f>IF(OR(ISBLANK(tblRisk[[#This Row],[Safeguard HIT Quintile]]),ISBLANK(tblRisk[[#This Row],[Control Maturity after SG]])),"",_xlfn.XLOOKUP(tblRisk[[#This Row],[Control Maturity after SG]] &amp;tblRisk[[#This Row],[Safeguard HIT Quintile]],tblHITWDI[Lookup],tblHITWDI[Likelihood Description]))</f>
        <v>Foreseeable, expected</v>
      </c>
      <c r="AV134" s="166">
        <f>IF(ISERROR(tblRisk[[#This Row],[Likelihood of Control Failure after SG]]),"",VLOOKUP(tblRisk[[#This Row],[Likelihood of Control Failure after SG]],tblLikelihood[#Data],2,FALSE))</f>
        <v>3</v>
      </c>
      <c r="AW134" s="159">
        <f>tblRisk[[#This Row],[Impact to Mission]]</f>
        <v>2</v>
      </c>
      <c r="AX134" s="159">
        <f>tblRisk[[#This Row],[Impact to Objectives]]</f>
        <v>2</v>
      </c>
      <c r="AY134" s="159">
        <f>tblRisk[[#This Row],[Impact to Obligations]]</f>
        <v>2</v>
      </c>
      <c r="AZ134" s="166">
        <f>IF(ISBLANK(tblRisk[[#This Row],[Impact to Mission With Safeguard in Place]]),"",MAX(tblRisk[[#This Row],[Impact to Mission With Safeguard in Place]:[Impact to Obligations With Safeguard in Place]]))</f>
        <v>2</v>
      </c>
      <c r="BA134" s="167">
        <f>IF(ISERROR(tblRisk[[#This Row],[Impact Score with Safeguard in Place]]*tblRisk[[#This Row],[Likelihood Score with Safeguard in Place]]),"",tblRisk[[#This Row],[Impact Score with Safeguard in Place]]*tblRisk[[#This Row],[Likelihood Score with Safeguard in Place]])</f>
        <v>6</v>
      </c>
      <c r="BB134" s="164">
        <f>tblRisk[[#This Row],[Risk Score With Safeguard in Place]]</f>
        <v>6</v>
      </c>
      <c r="BC134" s="168" t="str">
        <f>IF(tblRisk[[#This Row],[Risk Treatment Option]]&lt;&gt;"Accept",IF(_xlfn.XLOOKUP(tblRisk[[#This Row],[Specific Safeguard Recommendation]],ProTrak[Task],ProTrak[Status],"Not Found")="Completed","Pending Validation","Pending"),"")</f>
        <v/>
      </c>
      <c r="BD134" s="169" t="str">
        <f>_xlfn.XLOOKUP(tblRisk[[#This Row],[Risk Treatment Program]],tblRiskTreatmentPrograms[Risk Treatment Program],tblRiskTreatmentPrograms[Estimated End Date (MM/DD/YYYY)],"")</f>
        <v/>
      </c>
      <c r="BE134" s="170"/>
      <c r="BF134" s="171" t="str">
        <f>_xlfn.IFNA(IF(tblRisk[[#This Row],[Due Date]]&lt;=vWhatIfQuarter,"Closed",""),"")</f>
        <v/>
      </c>
      <c r="BG134" s="171">
        <f>IF(tblRisk[[#This Row],[Scenario Builder Status]]="Closed",tblRisk[[#This Row],[Risk Score With Safeguard in Place]],tblRisk[[#This Row],[Risk Score]])</f>
        <v>6</v>
      </c>
      <c r="BH134" s="192" t="str">
        <f>tblRisk[[#This Row],[Common Security Program]]&amp;tblRisk[[#This Row],[Common Security Control]]&amp;tblRisk[[#This Row],[Asset Designation ]]</f>
        <v>Vulnerability ManagementGovernanceApplications</v>
      </c>
      <c r="BI134" s="191"/>
      <c r="BJ134" s="191"/>
      <c r="BK134" s="191"/>
      <c r="BL134" s="191"/>
      <c r="BM134" s="191"/>
      <c r="BN134" s="191"/>
      <c r="BO134" s="191"/>
      <c r="BP134" s="191"/>
      <c r="BQ134" s="191"/>
    </row>
    <row r="135" spans="1:69" ht="78.75" x14ac:dyDescent="0.65">
      <c r="A135" s="160">
        <v>132</v>
      </c>
      <c r="B135" s="160" t="s">
        <v>899</v>
      </c>
      <c r="C135" s="19" t="s">
        <v>1000</v>
      </c>
      <c r="D135" s="28" t="s">
        <v>1253</v>
      </c>
      <c r="E135" s="207" t="s">
        <v>1092</v>
      </c>
      <c r="F135" s="194"/>
      <c r="G135" s="194" t="s">
        <v>117</v>
      </c>
      <c r="H135" s="194" t="s">
        <v>117</v>
      </c>
      <c r="I135" s="194" t="s">
        <v>1080</v>
      </c>
      <c r="J135" s="194" t="s">
        <v>1080</v>
      </c>
      <c r="K135" s="194" t="s">
        <v>1080</v>
      </c>
      <c r="L135" s="194" t="s">
        <v>1080</v>
      </c>
      <c r="M135" s="194" t="s">
        <v>1080</v>
      </c>
      <c r="N135" s="194">
        <f>COUNTIF(tblRisk[[#This Row],[Defends Against Malware]:[Defends Against Targeted Intrusions]],"Yes")</f>
        <v>0</v>
      </c>
      <c r="O135" s="160" t="s">
        <v>653</v>
      </c>
      <c r="P135" s="160" t="s">
        <v>88</v>
      </c>
      <c r="Q135" s="160" t="s">
        <v>1109</v>
      </c>
      <c r="R135" s="160" t="s">
        <v>1083</v>
      </c>
      <c r="S135" s="160" t="s">
        <v>1436</v>
      </c>
      <c r="T135" s="160" t="s">
        <v>1434</v>
      </c>
      <c r="U135" s="160" t="s">
        <v>1435</v>
      </c>
      <c r="V135" s="160" t="s">
        <v>1692</v>
      </c>
      <c r="W135" s="160" t="s">
        <v>1709</v>
      </c>
      <c r="X135" s="160" t="s">
        <v>1859</v>
      </c>
      <c r="Y135" s="151">
        <f>IF(ISBLANK(tblRisk[[#This Row],[Threat Cluster]]),"",_xlfn.XLOOKUP(tblRisk[[#This Row],[Threat Cluster]],tblHIT[Threat Cluster],tblHIT[Quintile]))</f>
        <v>1</v>
      </c>
      <c r="Z135" s="152">
        <v>4</v>
      </c>
      <c r="AA135" s="153" t="str">
        <f>IF(OR(ISBLANK(tblRisk[[#This Row],[HIT Quintile]]),ISBLANK(tblRisk[[#This Row],[Control Maturity]])),"",_xlfn.XLOOKUP(tblRisk[[#This Row],[Control Maturity]] &amp; tblRisk[[#This Row],[HIT Quintile]],tblHITWDI[Lookup],tblHITWDI[Likelihood Description]))</f>
        <v>Not Foreseeable</v>
      </c>
      <c r="AB135" s="161">
        <f>IF(ISERROR(tblRisk[[#This Row],[Likelihood of Control Failure]]),"",VLOOKUP(tblRisk[[#This Row],[Likelihood of Control Failure]],tblLikelihood[],2,FALSE))</f>
        <v>1</v>
      </c>
      <c r="AC135" s="154">
        <v>3</v>
      </c>
      <c r="AD135" s="155">
        <v>3</v>
      </c>
      <c r="AE135" s="155">
        <v>4</v>
      </c>
      <c r="AF135" s="162">
        <f>IF(ISBLANK(tblRisk[[#This Row],[Impact to Mission]]),"",MAX(tblRisk[[#This Row],[Impact to Mission]:[Impact to Obligations]]))</f>
        <v>4</v>
      </c>
      <c r="AG135" s="163">
        <f>IF(ISERROR(tblRisk[[#This Row],[Impact Score]]*tblRisk[[#This Row],[Likelihood Score]]),"",tblRisk[[#This Row],[Likelihood Score]]*tblRisk[[#This Row],[Impact Score]])</f>
        <v>4</v>
      </c>
      <c r="AH135" s="163">
        <f>tblRisk[[#This Row],[Risk Score]]</f>
        <v>4</v>
      </c>
      <c r="AI135" s="164">
        <f t="shared" si="3"/>
        <v>9</v>
      </c>
      <c r="AJ135" s="164">
        <f>IF(tblRisk[[#This Row],[Safeguard Status]]="In Place",tblRisk[[#This Row],[Control Maturity after SG]],tblRisk[[#This Row],[Control Maturity]])</f>
        <v>4</v>
      </c>
      <c r="AK135" s="173" t="str">
        <f>IF(tblRisk[[#This Row],[Safeguard Status]]="In Place",tblRisk[[#This Row],[Safeguard Threat Cluster]],tblRisk[[#This Row],[Threat Cluster]])</f>
        <v>Hacking web</v>
      </c>
      <c r="AL135" s="164">
        <f>IF(tblRisk[[#This Row],[Safeguard Status]]="In Place",tblRisk[[#This Row],[Risk Level With Safeguard in Place]],tblRisk[[#This Row],[Risk Level]])</f>
        <v>4</v>
      </c>
      <c r="AM135" s="165" t="s">
        <v>1887</v>
      </c>
      <c r="AN135" s="165" t="str">
        <f>IF(tblRisk[[#This Row],[Risk Treatment Option]]="Manage",_xlfn.IFNA(INDEX(tblRiskTreatmentPrograms[#Data],MATCH(tblRisk[[#This Row],[Common Security Program]]&amp;tblRisk[[#This Row],[Common Security Control]],tblRiskTreatmentPrograms[Lookup],0),MATCH($AN$3,tblRiskTreatmentPrograms[#Headers],0)),txtBadRTP),"")</f>
        <v/>
      </c>
      <c r="AO135" s="165" t="str">
        <f>IF(tblRisk[[#This Row],[Risk Treatment Program]]="","",INDEX(tblRiskTreatmentPrograms[#Data],MATCH(tblRisk[[#This Row],[Risk Treatment Program]],tblRiskTreatmentPrograms[Risk Treatment Program],0),MATCH($AO$3,tblRiskTreatmentPrograms[#Headers],0)))</f>
        <v/>
      </c>
      <c r="AP135" s="165"/>
      <c r="AQ13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5" s="19" t="str">
        <f>tblRisk[[#This Row],[Threat Cluster]]</f>
        <v>Hacking web</v>
      </c>
      <c r="AS135" s="156">
        <f>IF(ISBLANK(tblRisk[[#This Row],[Safeguard Threat Cluster]]),"",_xlfn.XLOOKUP(tblRisk[[#This Row],[Safeguard Threat Cluster]],tblHIT[Threat Cluster],tblHIT[Quintile]))</f>
        <v>1</v>
      </c>
      <c r="AT135" s="157">
        <f>_xlfn.SWITCH(tblRisk[[#This Row],[Risk Treatment Option]],"Manage",tblRisk[[#This Row],[Control Maturity]]+1,tblRisk[[#This Row],[Control Maturity]])</f>
        <v>4</v>
      </c>
      <c r="AU135" s="158" t="str">
        <f>IF(OR(ISBLANK(tblRisk[[#This Row],[Safeguard HIT Quintile]]),ISBLANK(tblRisk[[#This Row],[Control Maturity after SG]])),"",_xlfn.XLOOKUP(tblRisk[[#This Row],[Control Maturity after SG]] &amp;tblRisk[[#This Row],[Safeguard HIT Quintile]],tblHITWDI[Lookup],tblHITWDI[Likelihood Description]))</f>
        <v>Not Foreseeable</v>
      </c>
      <c r="AV135" s="166">
        <f>IF(ISERROR(tblRisk[[#This Row],[Likelihood of Control Failure after SG]]),"",VLOOKUP(tblRisk[[#This Row],[Likelihood of Control Failure after SG]],tblLikelihood[#Data],2,FALSE))</f>
        <v>1</v>
      </c>
      <c r="AW135" s="159">
        <f>tblRisk[[#This Row],[Impact to Mission]]</f>
        <v>3</v>
      </c>
      <c r="AX135" s="159">
        <f>tblRisk[[#This Row],[Impact to Objectives]]</f>
        <v>3</v>
      </c>
      <c r="AY135" s="159">
        <f>tblRisk[[#This Row],[Impact to Obligations]]</f>
        <v>4</v>
      </c>
      <c r="AZ135" s="166">
        <f>IF(ISBLANK(tblRisk[[#This Row],[Impact to Mission With Safeguard in Place]]),"",MAX(tblRisk[[#This Row],[Impact to Mission With Safeguard in Place]:[Impact to Obligations With Safeguard in Place]]))</f>
        <v>4</v>
      </c>
      <c r="BA135" s="167">
        <f>IF(ISERROR(tblRisk[[#This Row],[Impact Score with Safeguard in Place]]*tblRisk[[#This Row],[Likelihood Score with Safeguard in Place]]),"",tblRisk[[#This Row],[Impact Score with Safeguard in Place]]*tblRisk[[#This Row],[Likelihood Score with Safeguard in Place]])</f>
        <v>4</v>
      </c>
      <c r="BB135" s="164">
        <f>tblRisk[[#This Row],[Risk Score With Safeguard in Place]]</f>
        <v>4</v>
      </c>
      <c r="BC135" s="168" t="str">
        <f>IF(tblRisk[[#This Row],[Risk Treatment Option]]&lt;&gt;"Accept",IF(_xlfn.XLOOKUP(tblRisk[[#This Row],[Specific Safeguard Recommendation]],ProTrak[Task],ProTrak[Status],"Not Found")="Completed","Pending Validation","Pending"),"")</f>
        <v/>
      </c>
      <c r="BD135" s="169" t="str">
        <f>_xlfn.XLOOKUP(tblRisk[[#This Row],[Risk Treatment Program]],tblRiskTreatmentPrograms[Risk Treatment Program],tblRiskTreatmentPrograms[Estimated End Date (MM/DD/YYYY)],"")</f>
        <v/>
      </c>
      <c r="BE135" s="170"/>
      <c r="BF135" s="171" t="str">
        <f>_xlfn.IFNA(IF(tblRisk[[#This Row],[Due Date]]&lt;=vWhatIfQuarter,"Closed",""),"")</f>
        <v/>
      </c>
      <c r="BG135" s="171">
        <f>IF(tblRisk[[#This Row],[Scenario Builder Status]]="Closed",tblRisk[[#This Row],[Risk Score With Safeguard in Place]],tblRisk[[#This Row],[Risk Score]])</f>
        <v>4</v>
      </c>
      <c r="BH135" s="192" t="str">
        <f>tblRisk[[#This Row],[Common Security Program]]&amp;tblRisk[[#This Row],[Common Security Control]]&amp;tblRisk[[#This Row],[Asset Designation ]]</f>
        <v>System ManagementOperationApplications</v>
      </c>
      <c r="BI135" s="191"/>
      <c r="BJ135" s="191"/>
      <c r="BK135" s="191"/>
      <c r="BL135" s="191"/>
      <c r="BM135" s="191"/>
      <c r="BN135" s="191"/>
      <c r="BO135" s="191"/>
      <c r="BP135" s="191"/>
      <c r="BQ135" s="191"/>
    </row>
    <row r="136" spans="1:69" ht="78.75" x14ac:dyDescent="0.65">
      <c r="A136" s="160">
        <v>133</v>
      </c>
      <c r="B136" s="160" t="s">
        <v>899</v>
      </c>
      <c r="C136" s="19" t="s">
        <v>1001</v>
      </c>
      <c r="D136" s="28" t="s">
        <v>1254</v>
      </c>
      <c r="E136" s="207" t="s">
        <v>1092</v>
      </c>
      <c r="F136" s="194"/>
      <c r="G136" s="194" t="s">
        <v>117</v>
      </c>
      <c r="H136" s="194" t="s">
        <v>117</v>
      </c>
      <c r="I136" s="194" t="s">
        <v>1081</v>
      </c>
      <c r="J136" s="194" t="s">
        <v>1081</v>
      </c>
      <c r="K136" s="194" t="s">
        <v>1081</v>
      </c>
      <c r="L136" s="194" t="s">
        <v>1081</v>
      </c>
      <c r="M136" s="194" t="s">
        <v>1081</v>
      </c>
      <c r="N136" s="194">
        <f>COUNTIF(tblRisk[[#This Row],[Defends Against Malware]:[Defends Against Targeted Intrusions]],"Yes")</f>
        <v>5</v>
      </c>
      <c r="O136" s="160" t="s">
        <v>16</v>
      </c>
      <c r="P136" s="160" t="s">
        <v>88</v>
      </c>
      <c r="Q136" s="160" t="s">
        <v>1109</v>
      </c>
      <c r="R136" s="160" t="s">
        <v>1083</v>
      </c>
      <c r="S136" s="160" t="s">
        <v>1408</v>
      </c>
      <c r="T136" s="160" t="s">
        <v>1407</v>
      </c>
      <c r="U136" s="160" t="s">
        <v>1406</v>
      </c>
      <c r="V136" s="19" t="s">
        <v>1693</v>
      </c>
      <c r="W136" s="160" t="s">
        <v>1709</v>
      </c>
      <c r="X136" s="160" t="s">
        <v>1860</v>
      </c>
      <c r="Y136" s="151">
        <f>IF(ISBLANK(tblRisk[[#This Row],[Threat Cluster]]),"",_xlfn.XLOOKUP(tblRisk[[#This Row],[Threat Cluster]],tblHIT[Threat Cluster],tblHIT[Quintile]))</f>
        <v>1</v>
      </c>
      <c r="Z136" s="152">
        <v>4</v>
      </c>
      <c r="AA136" s="153" t="str">
        <f>IF(OR(ISBLANK(tblRisk[[#This Row],[HIT Quintile]]),ISBLANK(tblRisk[[#This Row],[Control Maturity]])),"",_xlfn.XLOOKUP(tblRisk[[#This Row],[Control Maturity]] &amp; tblRisk[[#This Row],[HIT Quintile]],tblHITWDI[Lookup],tblHITWDI[Likelihood Description]))</f>
        <v>Not Foreseeable</v>
      </c>
      <c r="AB136" s="161">
        <f>IF(ISERROR(tblRisk[[#This Row],[Likelihood of Control Failure]]),"",VLOOKUP(tblRisk[[#This Row],[Likelihood of Control Failure]],tblLikelihood[],2,FALSE))</f>
        <v>1</v>
      </c>
      <c r="AC136" s="154">
        <v>3</v>
      </c>
      <c r="AD136" s="155">
        <v>3</v>
      </c>
      <c r="AE136" s="155">
        <v>4</v>
      </c>
      <c r="AF136" s="162">
        <f>IF(ISBLANK(tblRisk[[#This Row],[Impact to Mission]]),"",MAX(tblRisk[[#This Row],[Impact to Mission]:[Impact to Obligations]]))</f>
        <v>4</v>
      </c>
      <c r="AG136" s="163">
        <f>IF(ISERROR(tblRisk[[#This Row],[Impact Score]]*tblRisk[[#This Row],[Likelihood Score]]),"",tblRisk[[#This Row],[Likelihood Score]]*tblRisk[[#This Row],[Impact Score]])</f>
        <v>4</v>
      </c>
      <c r="AH136" s="163">
        <f>tblRisk[[#This Row],[Risk Score]]</f>
        <v>4</v>
      </c>
      <c r="AI136" s="164">
        <f t="shared" si="3"/>
        <v>9</v>
      </c>
      <c r="AJ136" s="164">
        <f>IF(tblRisk[[#This Row],[Safeguard Status]]="In Place",tblRisk[[#This Row],[Control Maturity after SG]],tblRisk[[#This Row],[Control Maturity]])</f>
        <v>4</v>
      </c>
      <c r="AK136" s="173" t="str">
        <f>IF(tblRisk[[#This Row],[Safeguard Status]]="In Place",tblRisk[[#This Row],[Safeguard Threat Cluster]],tblRisk[[#This Row],[Threat Cluster]])</f>
        <v>Hacking web</v>
      </c>
      <c r="AL136" s="164">
        <f>IF(tblRisk[[#This Row],[Safeguard Status]]="In Place",tblRisk[[#This Row],[Risk Level With Safeguard in Place]],tblRisk[[#This Row],[Risk Level]])</f>
        <v>4</v>
      </c>
      <c r="AM136" s="165" t="s">
        <v>1887</v>
      </c>
      <c r="AN136" s="165" t="str">
        <f>IF(tblRisk[[#This Row],[Risk Treatment Option]]="Manage",_xlfn.IFNA(INDEX(tblRiskTreatmentPrograms[#Data],MATCH(tblRisk[[#This Row],[Common Security Program]]&amp;tblRisk[[#This Row],[Common Security Control]],tblRiskTreatmentPrograms[Lookup],0),MATCH($AN$3,tblRiskTreatmentPrograms[#Headers],0)),txtBadRTP),"")</f>
        <v/>
      </c>
      <c r="AO136" s="165" t="str">
        <f>IF(tblRisk[[#This Row],[Risk Treatment Program]]="","",INDEX(tblRiskTreatmentPrograms[#Data],MATCH(tblRisk[[#This Row],[Risk Treatment Program]],tblRiskTreatmentPrograms[Risk Treatment Program],0),MATCH($AO$3,tblRiskTreatmentPrograms[#Headers],0)))</f>
        <v/>
      </c>
      <c r="AP136" s="165"/>
      <c r="AQ13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6" s="19" t="str">
        <f>tblRisk[[#This Row],[Threat Cluster]]</f>
        <v>Hacking web</v>
      </c>
      <c r="AS136" s="156">
        <f>IF(ISBLANK(tblRisk[[#This Row],[Safeguard Threat Cluster]]),"",_xlfn.XLOOKUP(tblRisk[[#This Row],[Safeguard Threat Cluster]],tblHIT[Threat Cluster],tblHIT[Quintile]))</f>
        <v>1</v>
      </c>
      <c r="AT136" s="157">
        <f>_xlfn.SWITCH(tblRisk[[#This Row],[Risk Treatment Option]],"Manage",tblRisk[[#This Row],[Control Maturity]]+1,tblRisk[[#This Row],[Control Maturity]])</f>
        <v>4</v>
      </c>
      <c r="AU136" s="158" t="str">
        <f>IF(OR(ISBLANK(tblRisk[[#This Row],[Safeguard HIT Quintile]]),ISBLANK(tblRisk[[#This Row],[Control Maturity after SG]])),"",_xlfn.XLOOKUP(tblRisk[[#This Row],[Control Maturity after SG]] &amp;tblRisk[[#This Row],[Safeguard HIT Quintile]],tblHITWDI[Lookup],tblHITWDI[Likelihood Description]))</f>
        <v>Not Foreseeable</v>
      </c>
      <c r="AV136" s="166">
        <f>IF(ISERROR(tblRisk[[#This Row],[Likelihood of Control Failure after SG]]),"",VLOOKUP(tblRisk[[#This Row],[Likelihood of Control Failure after SG]],tblLikelihood[#Data],2,FALSE))</f>
        <v>1</v>
      </c>
      <c r="AW136" s="159">
        <f>tblRisk[[#This Row],[Impact to Mission]]</f>
        <v>3</v>
      </c>
      <c r="AX136" s="159">
        <f>tblRisk[[#This Row],[Impact to Objectives]]</f>
        <v>3</v>
      </c>
      <c r="AY136" s="159">
        <f>tblRisk[[#This Row],[Impact to Obligations]]</f>
        <v>4</v>
      </c>
      <c r="AZ136" s="166">
        <f>IF(ISBLANK(tblRisk[[#This Row],[Impact to Mission With Safeguard in Place]]),"",MAX(tblRisk[[#This Row],[Impact to Mission With Safeguard in Place]:[Impact to Obligations With Safeguard in Place]]))</f>
        <v>4</v>
      </c>
      <c r="BA136" s="167">
        <f>IF(ISERROR(tblRisk[[#This Row],[Impact Score with Safeguard in Place]]*tblRisk[[#This Row],[Likelihood Score with Safeguard in Place]]),"",tblRisk[[#This Row],[Impact Score with Safeguard in Place]]*tblRisk[[#This Row],[Likelihood Score with Safeguard in Place]])</f>
        <v>4</v>
      </c>
      <c r="BB136" s="164">
        <f>tblRisk[[#This Row],[Risk Score With Safeguard in Place]]</f>
        <v>4</v>
      </c>
      <c r="BC136" s="168" t="str">
        <f>IF(tblRisk[[#This Row],[Risk Treatment Option]]&lt;&gt;"Accept",IF(_xlfn.XLOOKUP(tblRisk[[#This Row],[Specific Safeguard Recommendation]],ProTrak[Task],ProTrak[Status],"Not Found")="Completed","Pending Validation","Pending"),"")</f>
        <v/>
      </c>
      <c r="BD136" s="169" t="str">
        <f>_xlfn.XLOOKUP(tblRisk[[#This Row],[Risk Treatment Program]],tblRiskTreatmentPrograms[Risk Treatment Program],tblRiskTreatmentPrograms[Estimated End Date (MM/DD/YYYY)],"")</f>
        <v/>
      </c>
      <c r="BE136" s="170"/>
      <c r="BF136" s="171" t="str">
        <f>_xlfn.IFNA(IF(tblRisk[[#This Row],[Due Date]]&lt;=vWhatIfQuarter,"Closed",""),"")</f>
        <v/>
      </c>
      <c r="BG136" s="171">
        <f>IF(tblRisk[[#This Row],[Scenario Builder Status]]="Closed",tblRisk[[#This Row],[Risk Score With Safeguard in Place]],tblRisk[[#This Row],[Risk Score]])</f>
        <v>4</v>
      </c>
      <c r="BH136" s="192" t="str">
        <f>tblRisk[[#This Row],[Common Security Program]]&amp;tblRisk[[#This Row],[Common Security Control]]&amp;tblRisk[[#This Row],[Asset Designation ]]</f>
        <v>Secure Application DevelopmentOperationApplications</v>
      </c>
      <c r="BI136" s="191" t="s">
        <v>117</v>
      </c>
      <c r="BJ136" s="191"/>
      <c r="BK136" s="191"/>
      <c r="BL136" s="191"/>
      <c r="BM136" s="191"/>
      <c r="BN136" s="191"/>
      <c r="BO136" s="191"/>
      <c r="BP136" s="191"/>
      <c r="BQ136" s="191"/>
    </row>
    <row r="137" spans="1:69" ht="189" x14ac:dyDescent="0.65">
      <c r="A137" s="160">
        <v>134</v>
      </c>
      <c r="B137" s="160" t="s">
        <v>899</v>
      </c>
      <c r="C137" s="19" t="s">
        <v>1002</v>
      </c>
      <c r="D137" s="28" t="s">
        <v>1255</v>
      </c>
      <c r="E137" s="207" t="s">
        <v>1092</v>
      </c>
      <c r="F137" s="194"/>
      <c r="G137" s="194" t="s">
        <v>117</v>
      </c>
      <c r="H137" s="194" t="s">
        <v>117</v>
      </c>
      <c r="I137" s="194" t="s">
        <v>1081</v>
      </c>
      <c r="J137" s="194" t="s">
        <v>1081</v>
      </c>
      <c r="K137" s="194" t="s">
        <v>1081</v>
      </c>
      <c r="L137" s="194" t="s">
        <v>1081</v>
      </c>
      <c r="M137" s="194" t="s">
        <v>1081</v>
      </c>
      <c r="N137" s="194">
        <f>COUNTIF(tblRisk[[#This Row],[Defends Against Malware]:[Defends Against Targeted Intrusions]],"Yes")</f>
        <v>5</v>
      </c>
      <c r="O137" s="160" t="s">
        <v>16</v>
      </c>
      <c r="P137" s="160" t="s">
        <v>88</v>
      </c>
      <c r="Q137" s="160" t="s">
        <v>1109</v>
      </c>
      <c r="R137" s="160" t="s">
        <v>1083</v>
      </c>
      <c r="S137" s="160" t="s">
        <v>1408</v>
      </c>
      <c r="T137" s="160" t="s">
        <v>1407</v>
      </c>
      <c r="U137" s="160" t="s">
        <v>1406</v>
      </c>
      <c r="V137" s="19" t="s">
        <v>1686</v>
      </c>
      <c r="W137" s="160" t="s">
        <v>1861</v>
      </c>
      <c r="X137" s="160" t="s">
        <v>1862</v>
      </c>
      <c r="Y137" s="151">
        <f>IF(ISBLANK(tblRisk[[#This Row],[Threat Cluster]]),"",_xlfn.XLOOKUP(tblRisk[[#This Row],[Threat Cluster]],tblHIT[Threat Cluster],tblHIT[Quintile]))</f>
        <v>1</v>
      </c>
      <c r="Z137" s="152">
        <v>1</v>
      </c>
      <c r="AA137" s="153" t="str">
        <f>IF(OR(ISBLANK(tblRisk[[#This Row],[HIT Quintile]]),ISBLANK(tblRisk[[#This Row],[Control Maturity]])),"",_xlfn.XLOOKUP(tblRisk[[#This Row],[Control Maturity]] &amp; tblRisk[[#This Row],[HIT Quintile]],tblHITWDI[Lookup],tblHITWDI[Likelihood Description]))</f>
        <v>Common</v>
      </c>
      <c r="AB137" s="161">
        <f>IF(ISERROR(tblRisk[[#This Row],[Likelihood of Control Failure]]),"",VLOOKUP(tblRisk[[#This Row],[Likelihood of Control Failure]],tblLikelihood[],2,FALSE))</f>
        <v>4</v>
      </c>
      <c r="AC137" s="154">
        <v>3</v>
      </c>
      <c r="AD137" s="155">
        <v>3</v>
      </c>
      <c r="AE137" s="155">
        <v>4</v>
      </c>
      <c r="AF137" s="162">
        <f>IF(ISBLANK(tblRisk[[#This Row],[Impact to Mission]]),"",MAX(tblRisk[[#This Row],[Impact to Mission]:[Impact to Obligations]]))</f>
        <v>4</v>
      </c>
      <c r="AG137" s="163">
        <f>IF(ISERROR(tblRisk[[#This Row],[Impact Score]]*tblRisk[[#This Row],[Likelihood Score]]),"",tblRisk[[#This Row],[Likelihood Score]]*tblRisk[[#This Row],[Impact Score]])</f>
        <v>16</v>
      </c>
      <c r="AH137" s="163">
        <f>tblRisk[[#This Row],[Risk Score]]</f>
        <v>16</v>
      </c>
      <c r="AI137" s="164">
        <f t="shared" si="3"/>
        <v>9</v>
      </c>
      <c r="AJ137" s="164">
        <f>IF(tblRisk[[#This Row],[Safeguard Status]]="In Place",tblRisk[[#This Row],[Control Maturity after SG]],tblRisk[[#This Row],[Control Maturity]])</f>
        <v>1</v>
      </c>
      <c r="AK137" s="173" t="str">
        <f>IF(tblRisk[[#This Row],[Safeguard Status]]="In Place",tblRisk[[#This Row],[Safeguard Threat Cluster]],tblRisk[[#This Row],[Threat Cluster]])</f>
        <v>Hacking web</v>
      </c>
      <c r="AL137" s="164">
        <f>IF(tblRisk[[#This Row],[Safeguard Status]]="In Place",tblRisk[[#This Row],[Risk Level With Safeguard in Place]],tblRisk[[#This Row],[Risk Level]])</f>
        <v>16</v>
      </c>
      <c r="AM137" s="165" t="s">
        <v>1564</v>
      </c>
      <c r="AN137"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Secure Application Development</v>
      </c>
      <c r="AO137"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Secure Application Development including:
 * training Application Development and Support resources;
 * incorporating Secure Development concepts, techniques, and compliance obligations in development and support initiatives;
 * enforcing Secure Application Development requirements when outsourcing application development and support;
 * include Secure Application Development procedures in the System Development Lifecycle (SDLC), during initiation, design, development, testing, production migration, and support;
 * reporting of Secure Application Development performance metrics
</v>
      </c>
      <c r="AP137" s="165" t="s">
        <v>1900</v>
      </c>
      <c r="AQ13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37" s="19" t="str">
        <f>tblRisk[[#This Row],[Threat Cluster]]</f>
        <v>Hacking web</v>
      </c>
      <c r="AS137" s="156">
        <f>IF(ISBLANK(tblRisk[[#This Row],[Safeguard Threat Cluster]]),"",_xlfn.XLOOKUP(tblRisk[[#This Row],[Safeguard Threat Cluster]],tblHIT[Threat Cluster],tblHIT[Quintile]))</f>
        <v>1</v>
      </c>
      <c r="AT137" s="157">
        <v>4</v>
      </c>
      <c r="AU137" s="158" t="str">
        <f>IF(OR(ISBLANK(tblRisk[[#This Row],[Safeguard HIT Quintile]]),ISBLANK(tblRisk[[#This Row],[Control Maturity after SG]])),"",_xlfn.XLOOKUP(tblRisk[[#This Row],[Control Maturity after SG]] &amp;tblRisk[[#This Row],[Safeguard HIT Quintile]],tblHITWDI[Lookup],tblHITWDI[Likelihood Description]))</f>
        <v>Not Foreseeable</v>
      </c>
      <c r="AV137" s="166">
        <f>IF(ISERROR(tblRisk[[#This Row],[Likelihood of Control Failure after SG]]),"",VLOOKUP(tblRisk[[#This Row],[Likelihood of Control Failure after SG]],tblLikelihood[#Data],2,FALSE))</f>
        <v>1</v>
      </c>
      <c r="AW137" s="159">
        <f>tblRisk[[#This Row],[Impact to Mission]]</f>
        <v>3</v>
      </c>
      <c r="AX137" s="159">
        <f>tblRisk[[#This Row],[Impact to Objectives]]</f>
        <v>3</v>
      </c>
      <c r="AY137" s="159">
        <f>tblRisk[[#This Row],[Impact to Obligations]]</f>
        <v>4</v>
      </c>
      <c r="AZ137" s="166">
        <f>IF(ISBLANK(tblRisk[[#This Row],[Impact to Mission With Safeguard in Place]]),"",MAX(tblRisk[[#This Row],[Impact to Mission With Safeguard in Place]:[Impact to Obligations With Safeguard in Place]]))</f>
        <v>4</v>
      </c>
      <c r="BA137" s="167">
        <f>IF(ISERROR(tblRisk[[#This Row],[Impact Score with Safeguard in Place]]*tblRisk[[#This Row],[Likelihood Score with Safeguard in Place]]),"",tblRisk[[#This Row],[Impact Score with Safeguard in Place]]*tblRisk[[#This Row],[Likelihood Score with Safeguard in Place]])</f>
        <v>4</v>
      </c>
      <c r="BB137" s="164">
        <f>tblRisk[[#This Row],[Risk Score With Safeguard in Place]]</f>
        <v>4</v>
      </c>
      <c r="BC137" s="168" t="str">
        <f>IF(tblRisk[[#This Row],[Risk Treatment Option]]&lt;&gt;"Accept",IF(_xlfn.XLOOKUP(tblRisk[[#This Row],[Specific Safeguard Recommendation]],ProTrak[Task],ProTrak[Status],"Not Found")="Completed","Pending Validation","Pending"),"")</f>
        <v>Pending</v>
      </c>
      <c r="BD137" s="169" t="str">
        <f>_xlfn.XLOOKUP(tblRisk[[#This Row],[Risk Treatment Program]],tblRiskTreatmentPrograms[Risk Treatment Program],tblRiskTreatmentPrograms[Estimated End Date (MM/DD/YYYY)],"")</f>
        <v>TBD</v>
      </c>
      <c r="BE137" s="170"/>
      <c r="BF137" s="171" t="str">
        <f>_xlfn.IFNA(IF(tblRisk[[#This Row],[Due Date]]&lt;=vWhatIfQuarter,"Closed",""),"")</f>
        <v/>
      </c>
      <c r="BG137" s="171">
        <f>IF(tblRisk[[#This Row],[Scenario Builder Status]]="Closed",tblRisk[[#This Row],[Risk Score With Safeguard in Place]],tblRisk[[#This Row],[Risk Score]])</f>
        <v>16</v>
      </c>
      <c r="BH137" s="192" t="str">
        <f>tblRisk[[#This Row],[Common Security Program]]&amp;tblRisk[[#This Row],[Common Security Control]]&amp;tblRisk[[#This Row],[Asset Designation ]]</f>
        <v>Secure Application DevelopmentOperationApplications</v>
      </c>
      <c r="BI137" s="191" t="s">
        <v>117</v>
      </c>
      <c r="BJ137" s="191"/>
      <c r="BK137" s="191"/>
      <c r="BL137" s="191"/>
      <c r="BM137" s="191"/>
      <c r="BN137" s="191"/>
      <c r="BO137" s="191"/>
      <c r="BP137" s="191"/>
      <c r="BQ137" s="191"/>
    </row>
    <row r="138" spans="1:69" ht="63" x14ac:dyDescent="0.65">
      <c r="A138" s="160">
        <v>135</v>
      </c>
      <c r="B138" s="160" t="s">
        <v>899</v>
      </c>
      <c r="C138" s="19" t="s">
        <v>1003</v>
      </c>
      <c r="D138" s="28" t="s">
        <v>1256</v>
      </c>
      <c r="E138" s="207" t="s">
        <v>1092</v>
      </c>
      <c r="F138" s="194"/>
      <c r="G138" s="194" t="s">
        <v>117</v>
      </c>
      <c r="H138" s="194" t="s">
        <v>117</v>
      </c>
      <c r="I138" s="194" t="s">
        <v>1081</v>
      </c>
      <c r="J138" s="194" t="s">
        <v>1081</v>
      </c>
      <c r="K138" s="194" t="s">
        <v>1081</v>
      </c>
      <c r="L138" s="194" t="s">
        <v>1081</v>
      </c>
      <c r="M138" s="194" t="s">
        <v>1081</v>
      </c>
      <c r="N138" s="194">
        <f>COUNTIF(tblRisk[[#This Row],[Defends Against Malware]:[Defends Against Targeted Intrusions]],"Yes")</f>
        <v>5</v>
      </c>
      <c r="O138" s="160" t="s">
        <v>16</v>
      </c>
      <c r="P138" s="160" t="s">
        <v>88</v>
      </c>
      <c r="Q138" s="160" t="s">
        <v>1109</v>
      </c>
      <c r="R138" s="160" t="s">
        <v>1083</v>
      </c>
      <c r="S138" s="160" t="s">
        <v>1408</v>
      </c>
      <c r="T138" s="160" t="s">
        <v>1407</v>
      </c>
      <c r="U138" s="160" t="s">
        <v>1406</v>
      </c>
      <c r="V138" s="19" t="s">
        <v>1912</v>
      </c>
      <c r="W138" s="160" t="s">
        <v>1709</v>
      </c>
      <c r="X138" s="160" t="s">
        <v>1863</v>
      </c>
      <c r="Y138" s="151">
        <f>IF(ISBLANK(tblRisk[[#This Row],[Threat Cluster]]),"",_xlfn.XLOOKUP(tblRisk[[#This Row],[Threat Cluster]],tblHIT[Threat Cluster],tblHIT[Quintile]))</f>
        <v>1</v>
      </c>
      <c r="Z138" s="152">
        <v>4</v>
      </c>
      <c r="AA138" s="153" t="str">
        <f>IF(OR(ISBLANK(tblRisk[[#This Row],[HIT Quintile]]),ISBLANK(tblRisk[[#This Row],[Control Maturity]])),"",_xlfn.XLOOKUP(tblRisk[[#This Row],[Control Maturity]] &amp; tblRisk[[#This Row],[HIT Quintile]],tblHITWDI[Lookup],tblHITWDI[Likelihood Description]))</f>
        <v>Not Foreseeable</v>
      </c>
      <c r="AB138" s="161">
        <f>IF(ISERROR(tblRisk[[#This Row],[Likelihood of Control Failure]]),"",VLOOKUP(tblRisk[[#This Row],[Likelihood of Control Failure]],tblLikelihood[],2,FALSE))</f>
        <v>1</v>
      </c>
      <c r="AC138" s="154">
        <v>3</v>
      </c>
      <c r="AD138" s="155">
        <v>3</v>
      </c>
      <c r="AE138" s="155">
        <v>4</v>
      </c>
      <c r="AF138" s="162">
        <f>IF(ISBLANK(tblRisk[[#This Row],[Impact to Mission]]),"",MAX(tblRisk[[#This Row],[Impact to Mission]:[Impact to Obligations]]))</f>
        <v>4</v>
      </c>
      <c r="AG138" s="163">
        <f>IF(ISERROR(tblRisk[[#This Row],[Impact Score]]*tblRisk[[#This Row],[Likelihood Score]]),"",tblRisk[[#This Row],[Likelihood Score]]*tblRisk[[#This Row],[Impact Score]])</f>
        <v>4</v>
      </c>
      <c r="AH138" s="163">
        <f>tblRisk[[#This Row],[Risk Score]]</f>
        <v>4</v>
      </c>
      <c r="AI138" s="164">
        <f t="shared" si="3"/>
        <v>9</v>
      </c>
      <c r="AJ138" s="164">
        <f>IF(tblRisk[[#This Row],[Safeguard Status]]="In Place",tblRisk[[#This Row],[Control Maturity after SG]],tblRisk[[#This Row],[Control Maturity]])</f>
        <v>4</v>
      </c>
      <c r="AK138" s="173" t="str">
        <f>IF(tblRisk[[#This Row],[Safeguard Status]]="In Place",tblRisk[[#This Row],[Safeguard Threat Cluster]],tblRisk[[#This Row],[Threat Cluster]])</f>
        <v>Hacking web</v>
      </c>
      <c r="AL138" s="164">
        <f>IF(tblRisk[[#This Row],[Safeguard Status]]="In Place",tblRisk[[#This Row],[Risk Level With Safeguard in Place]],tblRisk[[#This Row],[Risk Level]])</f>
        <v>4</v>
      </c>
      <c r="AM138" s="165" t="s">
        <v>1887</v>
      </c>
      <c r="AN138" s="165" t="str">
        <f>IF(tblRisk[[#This Row],[Risk Treatment Option]]="Manage",_xlfn.IFNA(INDEX(tblRiskTreatmentPrograms[#Data],MATCH(tblRisk[[#This Row],[Common Security Program]]&amp;tblRisk[[#This Row],[Common Security Control]],tblRiskTreatmentPrograms[Lookup],0),MATCH($AN$3,tblRiskTreatmentPrograms[#Headers],0)),txtBadRTP),"")</f>
        <v/>
      </c>
      <c r="AO138" s="165" t="str">
        <f>IF(tblRisk[[#This Row],[Risk Treatment Program]]="","",INDEX(tblRiskTreatmentPrograms[#Data],MATCH(tblRisk[[#This Row],[Risk Treatment Program]],tblRiskTreatmentPrograms[Risk Treatment Program],0),MATCH($AO$3,tblRiskTreatmentPrograms[#Headers],0)))</f>
        <v/>
      </c>
      <c r="AP138" s="165"/>
      <c r="AQ13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8" s="19" t="str">
        <f>tblRisk[[#This Row],[Threat Cluster]]</f>
        <v>Hacking web</v>
      </c>
      <c r="AS138" s="156">
        <f>IF(ISBLANK(tblRisk[[#This Row],[Safeguard Threat Cluster]]),"",_xlfn.XLOOKUP(tblRisk[[#This Row],[Safeguard Threat Cluster]],tblHIT[Threat Cluster],tblHIT[Quintile]))</f>
        <v>1</v>
      </c>
      <c r="AT138" s="157">
        <f>_xlfn.SWITCH(tblRisk[[#This Row],[Risk Treatment Option]],"Manage",tblRisk[[#This Row],[Control Maturity]]+1,tblRisk[[#This Row],[Control Maturity]])</f>
        <v>4</v>
      </c>
      <c r="AU138" s="158" t="str">
        <f>IF(OR(ISBLANK(tblRisk[[#This Row],[Safeguard HIT Quintile]]),ISBLANK(tblRisk[[#This Row],[Control Maturity after SG]])),"",_xlfn.XLOOKUP(tblRisk[[#This Row],[Control Maturity after SG]] &amp;tblRisk[[#This Row],[Safeguard HIT Quintile]],tblHITWDI[Lookup],tblHITWDI[Likelihood Description]))</f>
        <v>Not Foreseeable</v>
      </c>
      <c r="AV138" s="166">
        <f>IF(ISERROR(tblRisk[[#This Row],[Likelihood of Control Failure after SG]]),"",VLOOKUP(tblRisk[[#This Row],[Likelihood of Control Failure after SG]],tblLikelihood[#Data],2,FALSE))</f>
        <v>1</v>
      </c>
      <c r="AW138" s="159">
        <f>tblRisk[[#This Row],[Impact to Mission]]</f>
        <v>3</v>
      </c>
      <c r="AX138" s="159">
        <f>tblRisk[[#This Row],[Impact to Objectives]]</f>
        <v>3</v>
      </c>
      <c r="AY138" s="159">
        <f>tblRisk[[#This Row],[Impact to Obligations]]</f>
        <v>4</v>
      </c>
      <c r="AZ138" s="166">
        <f>IF(ISBLANK(tblRisk[[#This Row],[Impact to Mission With Safeguard in Place]]),"",MAX(tblRisk[[#This Row],[Impact to Mission With Safeguard in Place]:[Impact to Obligations With Safeguard in Place]]))</f>
        <v>4</v>
      </c>
      <c r="BA138" s="167">
        <f>IF(ISERROR(tblRisk[[#This Row],[Impact Score with Safeguard in Place]]*tblRisk[[#This Row],[Likelihood Score with Safeguard in Place]]),"",tblRisk[[#This Row],[Impact Score with Safeguard in Place]]*tblRisk[[#This Row],[Likelihood Score with Safeguard in Place]])</f>
        <v>4</v>
      </c>
      <c r="BB138" s="164">
        <f>tblRisk[[#This Row],[Risk Score With Safeguard in Place]]</f>
        <v>4</v>
      </c>
      <c r="BC138" s="168" t="str">
        <f>IF(tblRisk[[#This Row],[Risk Treatment Option]]&lt;&gt;"Accept",IF(_xlfn.XLOOKUP(tblRisk[[#This Row],[Specific Safeguard Recommendation]],ProTrak[Task],ProTrak[Status],"Not Found")="Completed","Pending Validation","Pending"),"")</f>
        <v/>
      </c>
      <c r="BD138" s="169" t="str">
        <f>_xlfn.XLOOKUP(tblRisk[[#This Row],[Risk Treatment Program]],tblRiskTreatmentPrograms[Risk Treatment Program],tblRiskTreatmentPrograms[Estimated End Date (MM/DD/YYYY)],"")</f>
        <v/>
      </c>
      <c r="BE138" s="170"/>
      <c r="BF138" s="171" t="str">
        <f>_xlfn.IFNA(IF(tblRisk[[#This Row],[Due Date]]&lt;=vWhatIfQuarter,"Closed",""),"")</f>
        <v/>
      </c>
      <c r="BG138" s="171">
        <f>IF(tblRisk[[#This Row],[Scenario Builder Status]]="Closed",tblRisk[[#This Row],[Risk Score With Safeguard in Place]],tblRisk[[#This Row],[Risk Score]])</f>
        <v>4</v>
      </c>
      <c r="BH138" s="192" t="str">
        <f>tblRisk[[#This Row],[Common Security Program]]&amp;tblRisk[[#This Row],[Common Security Control]]&amp;tblRisk[[#This Row],[Asset Designation ]]</f>
        <v>Secure Application DevelopmentOperationApplications</v>
      </c>
      <c r="BI138" s="191" t="s">
        <v>117</v>
      </c>
      <c r="BJ138" s="191"/>
      <c r="BK138" s="191"/>
      <c r="BL138" s="191"/>
      <c r="BM138" s="191"/>
      <c r="BN138" s="191"/>
      <c r="BO138" s="191"/>
      <c r="BP138" s="191"/>
      <c r="BQ138" s="191"/>
    </row>
    <row r="139" spans="1:69" ht="141.75" x14ac:dyDescent="0.65">
      <c r="A139" s="160">
        <v>136</v>
      </c>
      <c r="B139" s="160" t="s">
        <v>899</v>
      </c>
      <c r="C139" s="19" t="s">
        <v>1004</v>
      </c>
      <c r="D139" s="28" t="s">
        <v>1257</v>
      </c>
      <c r="E139" s="207" t="s">
        <v>1092</v>
      </c>
      <c r="F139" s="194"/>
      <c r="G139" s="194" t="s">
        <v>117</v>
      </c>
      <c r="H139" s="194" t="s">
        <v>117</v>
      </c>
      <c r="I139" s="194" t="s">
        <v>1081</v>
      </c>
      <c r="J139" s="194" t="s">
        <v>1080</v>
      </c>
      <c r="K139" s="194" t="s">
        <v>1081</v>
      </c>
      <c r="L139" s="194" t="s">
        <v>1081</v>
      </c>
      <c r="M139" s="194" t="s">
        <v>1081</v>
      </c>
      <c r="N139" s="194">
        <f>COUNTIF(tblRisk[[#This Row],[Defends Against Malware]:[Defends Against Targeted Intrusions]],"Yes")</f>
        <v>4</v>
      </c>
      <c r="O139" s="160" t="s">
        <v>16</v>
      </c>
      <c r="P139" s="160" t="s">
        <v>88</v>
      </c>
      <c r="Q139" s="160" t="s">
        <v>1109</v>
      </c>
      <c r="R139" s="160" t="s">
        <v>1083</v>
      </c>
      <c r="S139" s="160" t="s">
        <v>1408</v>
      </c>
      <c r="T139" s="160" t="s">
        <v>1407</v>
      </c>
      <c r="U139" s="160" t="s">
        <v>1406</v>
      </c>
      <c r="V139" s="19" t="s">
        <v>1913</v>
      </c>
      <c r="W139" s="160" t="s">
        <v>1709</v>
      </c>
      <c r="X139" s="160" t="s">
        <v>1864</v>
      </c>
      <c r="Y139" s="151">
        <f>IF(ISBLANK(tblRisk[[#This Row],[Threat Cluster]]),"",_xlfn.XLOOKUP(tblRisk[[#This Row],[Threat Cluster]],tblHIT[Threat Cluster],tblHIT[Quintile]))</f>
        <v>1</v>
      </c>
      <c r="Z139" s="152">
        <v>4</v>
      </c>
      <c r="AA139" s="153" t="str">
        <f>IF(OR(ISBLANK(tblRisk[[#This Row],[HIT Quintile]]),ISBLANK(tblRisk[[#This Row],[Control Maturity]])),"",_xlfn.XLOOKUP(tblRisk[[#This Row],[Control Maturity]] &amp; tblRisk[[#This Row],[HIT Quintile]],tblHITWDI[Lookup],tblHITWDI[Likelihood Description]))</f>
        <v>Not Foreseeable</v>
      </c>
      <c r="AB139" s="161">
        <f>IF(ISERROR(tblRisk[[#This Row],[Likelihood of Control Failure]]),"",VLOOKUP(tblRisk[[#This Row],[Likelihood of Control Failure]],tblLikelihood[],2,FALSE))</f>
        <v>1</v>
      </c>
      <c r="AC139" s="154">
        <v>3</v>
      </c>
      <c r="AD139" s="155">
        <v>3</v>
      </c>
      <c r="AE139" s="155">
        <v>4</v>
      </c>
      <c r="AF139" s="162">
        <f>IF(ISBLANK(tblRisk[[#This Row],[Impact to Mission]]),"",MAX(tblRisk[[#This Row],[Impact to Mission]:[Impact to Obligations]]))</f>
        <v>4</v>
      </c>
      <c r="AG139" s="163">
        <f>IF(ISERROR(tblRisk[[#This Row],[Impact Score]]*tblRisk[[#This Row],[Likelihood Score]]),"",tblRisk[[#This Row],[Likelihood Score]]*tblRisk[[#This Row],[Impact Score]])</f>
        <v>4</v>
      </c>
      <c r="AH139" s="163">
        <f>tblRisk[[#This Row],[Risk Score]]</f>
        <v>4</v>
      </c>
      <c r="AI139" s="164">
        <f t="shared" si="3"/>
        <v>9</v>
      </c>
      <c r="AJ139" s="164">
        <f>IF(tblRisk[[#This Row],[Safeguard Status]]="In Place",tblRisk[[#This Row],[Control Maturity after SG]],tblRisk[[#This Row],[Control Maturity]])</f>
        <v>4</v>
      </c>
      <c r="AK139" s="173" t="str">
        <f>IF(tblRisk[[#This Row],[Safeguard Status]]="In Place",tblRisk[[#This Row],[Safeguard Threat Cluster]],tblRisk[[#This Row],[Threat Cluster]])</f>
        <v>Hacking web</v>
      </c>
      <c r="AL139" s="164">
        <f>IF(tblRisk[[#This Row],[Safeguard Status]]="In Place",tblRisk[[#This Row],[Risk Level With Safeguard in Place]],tblRisk[[#This Row],[Risk Level]])</f>
        <v>4</v>
      </c>
      <c r="AM139" s="165" t="s">
        <v>1887</v>
      </c>
      <c r="AN139" s="165" t="str">
        <f>IF(tblRisk[[#This Row],[Risk Treatment Option]]="Manage",_xlfn.IFNA(INDEX(tblRiskTreatmentPrograms[#Data],MATCH(tblRisk[[#This Row],[Common Security Program]]&amp;tblRisk[[#This Row],[Common Security Control]],tblRiskTreatmentPrograms[Lookup],0),MATCH($AN$3,tblRiskTreatmentPrograms[#Headers],0)),txtBadRTP),"")</f>
        <v/>
      </c>
      <c r="AO139" s="165" t="str">
        <f>IF(tblRisk[[#This Row],[Risk Treatment Program]]="","",INDEX(tblRiskTreatmentPrograms[#Data],MATCH(tblRisk[[#This Row],[Risk Treatment Program]],tblRiskTreatmentPrograms[Risk Treatment Program],0),MATCH($AO$3,tblRiskTreatmentPrograms[#Headers],0)))</f>
        <v/>
      </c>
      <c r="AP139" s="165"/>
      <c r="AQ13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39" s="19" t="str">
        <f>tblRisk[[#This Row],[Threat Cluster]]</f>
        <v>Hacking web</v>
      </c>
      <c r="AS139" s="156">
        <f>IF(ISBLANK(tblRisk[[#This Row],[Safeguard Threat Cluster]]),"",_xlfn.XLOOKUP(tblRisk[[#This Row],[Safeguard Threat Cluster]],tblHIT[Threat Cluster],tblHIT[Quintile]))</f>
        <v>1</v>
      </c>
      <c r="AT139" s="157">
        <f>_xlfn.SWITCH(tblRisk[[#This Row],[Risk Treatment Option]],"Manage",tblRisk[[#This Row],[Control Maturity]]+1,tblRisk[[#This Row],[Control Maturity]])</f>
        <v>4</v>
      </c>
      <c r="AU139" s="158" t="str">
        <f>IF(OR(ISBLANK(tblRisk[[#This Row],[Safeguard HIT Quintile]]),ISBLANK(tblRisk[[#This Row],[Control Maturity after SG]])),"",_xlfn.XLOOKUP(tblRisk[[#This Row],[Control Maturity after SG]] &amp;tblRisk[[#This Row],[Safeguard HIT Quintile]],tblHITWDI[Lookup],tblHITWDI[Likelihood Description]))</f>
        <v>Not Foreseeable</v>
      </c>
      <c r="AV139" s="166">
        <f>IF(ISERROR(tblRisk[[#This Row],[Likelihood of Control Failure after SG]]),"",VLOOKUP(tblRisk[[#This Row],[Likelihood of Control Failure after SG]],tblLikelihood[#Data],2,FALSE))</f>
        <v>1</v>
      </c>
      <c r="AW139" s="159">
        <f>tblRisk[[#This Row],[Impact to Mission]]</f>
        <v>3</v>
      </c>
      <c r="AX139" s="159">
        <f>tblRisk[[#This Row],[Impact to Objectives]]</f>
        <v>3</v>
      </c>
      <c r="AY139" s="159">
        <f>tblRisk[[#This Row],[Impact to Obligations]]</f>
        <v>4</v>
      </c>
      <c r="AZ139" s="166">
        <f>IF(ISBLANK(tblRisk[[#This Row],[Impact to Mission With Safeguard in Place]]),"",MAX(tblRisk[[#This Row],[Impact to Mission With Safeguard in Place]:[Impact to Obligations With Safeguard in Place]]))</f>
        <v>4</v>
      </c>
      <c r="BA139" s="167">
        <f>IF(ISERROR(tblRisk[[#This Row],[Impact Score with Safeguard in Place]]*tblRisk[[#This Row],[Likelihood Score with Safeguard in Place]]),"",tblRisk[[#This Row],[Impact Score with Safeguard in Place]]*tblRisk[[#This Row],[Likelihood Score with Safeguard in Place]])</f>
        <v>4</v>
      </c>
      <c r="BB139" s="164">
        <f>tblRisk[[#This Row],[Risk Score With Safeguard in Place]]</f>
        <v>4</v>
      </c>
      <c r="BC139" s="168" t="str">
        <f>IF(tblRisk[[#This Row],[Risk Treatment Option]]&lt;&gt;"Accept",IF(_xlfn.XLOOKUP(tblRisk[[#This Row],[Specific Safeguard Recommendation]],ProTrak[Task],ProTrak[Status],"Not Found")="Completed","Pending Validation","Pending"),"")</f>
        <v/>
      </c>
      <c r="BD139" s="169" t="str">
        <f>_xlfn.XLOOKUP(tblRisk[[#This Row],[Risk Treatment Program]],tblRiskTreatmentPrograms[Risk Treatment Program],tblRiskTreatmentPrograms[Estimated End Date (MM/DD/YYYY)],"")</f>
        <v/>
      </c>
      <c r="BE139" s="170"/>
      <c r="BF139" s="171" t="str">
        <f>_xlfn.IFNA(IF(tblRisk[[#This Row],[Due Date]]&lt;=vWhatIfQuarter,"Closed",""),"")</f>
        <v/>
      </c>
      <c r="BG139" s="171">
        <f>IF(tblRisk[[#This Row],[Scenario Builder Status]]="Closed",tblRisk[[#This Row],[Risk Score With Safeguard in Place]],tblRisk[[#This Row],[Risk Score]])</f>
        <v>4</v>
      </c>
      <c r="BH139" s="192" t="str">
        <f>tblRisk[[#This Row],[Common Security Program]]&amp;tblRisk[[#This Row],[Common Security Control]]&amp;tblRisk[[#This Row],[Asset Designation ]]</f>
        <v>Secure Application DevelopmentOperationApplications</v>
      </c>
      <c r="BI139" s="191" t="s">
        <v>117</v>
      </c>
      <c r="BJ139" s="191"/>
      <c r="BK139" s="191"/>
      <c r="BL139" s="191"/>
      <c r="BM139" s="191"/>
      <c r="BN139" s="191"/>
      <c r="BO139" s="191"/>
      <c r="BP139" s="191"/>
      <c r="BQ139" s="191"/>
    </row>
    <row r="140" spans="1:69" ht="189" x14ac:dyDescent="0.65">
      <c r="A140" s="160">
        <v>137</v>
      </c>
      <c r="B140" s="160" t="s">
        <v>899</v>
      </c>
      <c r="C140" s="19" t="s">
        <v>1005</v>
      </c>
      <c r="D140" s="28" t="s">
        <v>1258</v>
      </c>
      <c r="E140" s="207" t="s">
        <v>1092</v>
      </c>
      <c r="F140" s="194"/>
      <c r="G140" s="194"/>
      <c r="H140" s="194" t="s">
        <v>117</v>
      </c>
      <c r="I140" s="194" t="s">
        <v>1081</v>
      </c>
      <c r="J140" s="194" t="s">
        <v>1080</v>
      </c>
      <c r="K140" s="194" t="s">
        <v>1081</v>
      </c>
      <c r="L140" s="194" t="s">
        <v>1081</v>
      </c>
      <c r="M140" s="194" t="s">
        <v>1081</v>
      </c>
      <c r="N140" s="194">
        <f>COUNTIF(tblRisk[[#This Row],[Defends Against Malware]:[Defends Against Targeted Intrusions]],"Yes")</f>
        <v>4</v>
      </c>
      <c r="O140" s="160" t="s">
        <v>16</v>
      </c>
      <c r="P140" s="160" t="s">
        <v>88</v>
      </c>
      <c r="Q140" s="160" t="s">
        <v>30</v>
      </c>
      <c r="R140" s="160" t="s">
        <v>1083</v>
      </c>
      <c r="S140" s="160" t="s">
        <v>1408</v>
      </c>
      <c r="T140" s="160" t="s">
        <v>1407</v>
      </c>
      <c r="U140" s="160" t="s">
        <v>1406</v>
      </c>
      <c r="V140" s="160" t="s">
        <v>1687</v>
      </c>
      <c r="W140" s="160" t="s">
        <v>1865</v>
      </c>
      <c r="X140" s="160" t="s">
        <v>1866</v>
      </c>
      <c r="Y140" s="151">
        <f>IF(ISBLANK(tblRisk[[#This Row],[Threat Cluster]]),"",_xlfn.XLOOKUP(tblRisk[[#This Row],[Threat Cluster]],tblHIT[Threat Cluster],tblHIT[Quintile]))</f>
        <v>2</v>
      </c>
      <c r="Z140" s="152">
        <v>1</v>
      </c>
      <c r="AA140" s="153" t="str">
        <f>IF(OR(ISBLANK(tblRisk[[#This Row],[HIT Quintile]]),ISBLANK(tblRisk[[#This Row],[Control Maturity]])),"",_xlfn.XLOOKUP(tblRisk[[#This Row],[Control Maturity]] &amp; tblRisk[[#This Row],[HIT Quintile]],tblHITWDI[Lookup],tblHITWDI[Likelihood Description]))</f>
        <v>Common</v>
      </c>
      <c r="AB140" s="161">
        <f>IF(ISERROR(tblRisk[[#This Row],[Likelihood of Control Failure]]),"",VLOOKUP(tblRisk[[#This Row],[Likelihood of Control Failure]],tblLikelihood[],2,FALSE))</f>
        <v>4</v>
      </c>
      <c r="AC140" s="154">
        <v>3</v>
      </c>
      <c r="AD140" s="155">
        <v>3</v>
      </c>
      <c r="AE140" s="155">
        <v>4</v>
      </c>
      <c r="AF140" s="162">
        <f>IF(ISBLANK(tblRisk[[#This Row],[Impact to Mission]]),"",MAX(tblRisk[[#This Row],[Impact to Mission]:[Impact to Obligations]]))</f>
        <v>4</v>
      </c>
      <c r="AG140" s="163">
        <f>IF(ISERROR(tblRisk[[#This Row],[Impact Score]]*tblRisk[[#This Row],[Likelihood Score]]),"",tblRisk[[#This Row],[Likelihood Score]]*tblRisk[[#This Row],[Impact Score]])</f>
        <v>16</v>
      </c>
      <c r="AH140" s="163">
        <f>tblRisk[[#This Row],[Risk Score]]</f>
        <v>16</v>
      </c>
      <c r="AI140" s="164">
        <f t="shared" si="3"/>
        <v>9</v>
      </c>
      <c r="AJ140" s="164">
        <f>IF(tblRisk[[#This Row],[Safeguard Status]]="In Place",tblRisk[[#This Row],[Control Maturity after SG]],tblRisk[[#This Row],[Control Maturity]])</f>
        <v>1</v>
      </c>
      <c r="AK140" s="173" t="str">
        <f>IF(tblRisk[[#This Row],[Safeguard Status]]="In Place",tblRisk[[#This Row],[Safeguard Threat Cluster]],tblRisk[[#This Row],[Threat Cluster]])</f>
        <v>Hacking System</v>
      </c>
      <c r="AL140" s="164">
        <f>IF(tblRisk[[#This Row],[Safeguard Status]]="In Place",tblRisk[[#This Row],[Risk Level With Safeguard in Place]],tblRisk[[#This Row],[Risk Level]])</f>
        <v>16</v>
      </c>
      <c r="AM140" s="165" t="s">
        <v>1564</v>
      </c>
      <c r="AN140"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Secure Application Development</v>
      </c>
      <c r="AO140"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Secure Application Development including:
 * training Application Development and Support resources;
 * incorporating Secure Development concepts, techniques, and compliance obligations in development and support initiatives;
 * enforcing Secure Application Development requirements when outsourcing application development and support;
 * include Secure Application Development procedures in the System Development Lifecycle (SDLC), during initiation, design, development, testing, production migration, and support;
 * reporting of Secure Application Development performance metrics
</v>
      </c>
      <c r="AP140" s="165" t="s">
        <v>1901</v>
      </c>
      <c r="AQ14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40" s="19" t="str">
        <f>tblRisk[[#This Row],[Threat Cluster]]</f>
        <v>Hacking System</v>
      </c>
      <c r="AS140" s="156">
        <f>IF(ISBLANK(tblRisk[[#This Row],[Safeguard Threat Cluster]]),"",_xlfn.XLOOKUP(tblRisk[[#This Row],[Safeguard Threat Cluster]],tblHIT[Threat Cluster],tblHIT[Quintile]))</f>
        <v>2</v>
      </c>
      <c r="AT140" s="157">
        <v>4</v>
      </c>
      <c r="AU14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0" s="166">
        <f>IF(ISERROR(tblRisk[[#This Row],[Likelihood of Control Failure after SG]]),"",VLOOKUP(tblRisk[[#This Row],[Likelihood of Control Failure after SG]],tblLikelihood[#Data],2,FALSE))</f>
        <v>2</v>
      </c>
      <c r="AW140" s="159">
        <f>tblRisk[[#This Row],[Impact to Mission]]</f>
        <v>3</v>
      </c>
      <c r="AX140" s="159">
        <f>tblRisk[[#This Row],[Impact to Objectives]]</f>
        <v>3</v>
      </c>
      <c r="AY140" s="159">
        <f>tblRisk[[#This Row],[Impact to Obligations]]</f>
        <v>4</v>
      </c>
      <c r="AZ140" s="166">
        <f>IF(ISBLANK(tblRisk[[#This Row],[Impact to Mission With Safeguard in Place]]),"",MAX(tblRisk[[#This Row],[Impact to Mission With Safeguard in Place]:[Impact to Obligations With Safeguard in Place]]))</f>
        <v>4</v>
      </c>
      <c r="BA140" s="167">
        <f>IF(ISERROR(tblRisk[[#This Row],[Impact Score with Safeguard in Place]]*tblRisk[[#This Row],[Likelihood Score with Safeguard in Place]]),"",tblRisk[[#This Row],[Impact Score with Safeguard in Place]]*tblRisk[[#This Row],[Likelihood Score with Safeguard in Place]])</f>
        <v>8</v>
      </c>
      <c r="BB140" s="164">
        <f>tblRisk[[#This Row],[Risk Score With Safeguard in Place]]</f>
        <v>8</v>
      </c>
      <c r="BC140" s="168" t="str">
        <f>IF(tblRisk[[#This Row],[Risk Treatment Option]]&lt;&gt;"Accept",IF(_xlfn.XLOOKUP(tblRisk[[#This Row],[Specific Safeguard Recommendation]],ProTrak[Task],ProTrak[Status],"Not Found")="Completed","Pending Validation","Pending"),"")</f>
        <v>Pending</v>
      </c>
      <c r="BD140" s="169" t="str">
        <f>_xlfn.XLOOKUP(tblRisk[[#This Row],[Risk Treatment Program]],tblRiskTreatmentPrograms[Risk Treatment Program],tblRiskTreatmentPrograms[Estimated End Date (MM/DD/YYYY)],"")</f>
        <v>TBD</v>
      </c>
      <c r="BE140" s="170"/>
      <c r="BF140" s="171" t="str">
        <f>_xlfn.IFNA(IF(tblRisk[[#This Row],[Due Date]]&lt;=vWhatIfQuarter,"Closed",""),"")</f>
        <v/>
      </c>
      <c r="BG140" s="171">
        <f>IF(tblRisk[[#This Row],[Scenario Builder Status]]="Closed",tblRisk[[#This Row],[Risk Score With Safeguard in Place]],tblRisk[[#This Row],[Risk Score]])</f>
        <v>16</v>
      </c>
      <c r="BH140" s="192" t="str">
        <f>tblRisk[[#This Row],[Common Security Program]]&amp;tblRisk[[#This Row],[Common Security Control]]&amp;tblRisk[[#This Row],[Asset Designation ]]</f>
        <v>Secure Application DevelopmentOperationApplications</v>
      </c>
      <c r="BI140" s="191" t="s">
        <v>117</v>
      </c>
      <c r="BJ140" s="191"/>
      <c r="BK140" s="191"/>
      <c r="BL140" s="191"/>
      <c r="BM140" s="191"/>
      <c r="BN140" s="191"/>
      <c r="BO140" s="191"/>
      <c r="BP140" s="191"/>
      <c r="BQ140" s="191"/>
    </row>
    <row r="141" spans="1:69" ht="299.25" x14ac:dyDescent="0.65">
      <c r="A141" s="160">
        <v>138</v>
      </c>
      <c r="B141" s="160" t="s">
        <v>899</v>
      </c>
      <c r="C141" s="19" t="s">
        <v>1006</v>
      </c>
      <c r="D141" s="28" t="s">
        <v>1259</v>
      </c>
      <c r="E141" s="207" t="s">
        <v>1092</v>
      </c>
      <c r="F141" s="194"/>
      <c r="G141" s="194"/>
      <c r="H141" s="194" t="s">
        <v>117</v>
      </c>
      <c r="I141" s="194" t="s">
        <v>1081</v>
      </c>
      <c r="J141" s="194" t="s">
        <v>1081</v>
      </c>
      <c r="K141" s="194" t="s">
        <v>1081</v>
      </c>
      <c r="L141" s="194" t="s">
        <v>1081</v>
      </c>
      <c r="M141" s="194" t="s">
        <v>1081</v>
      </c>
      <c r="N141" s="194">
        <f>COUNTIF(tblRisk[[#This Row],[Defends Against Malware]:[Defends Against Targeted Intrusions]],"Yes")</f>
        <v>5</v>
      </c>
      <c r="O141" s="160" t="s">
        <v>22</v>
      </c>
      <c r="P141" s="160" t="s">
        <v>88</v>
      </c>
      <c r="Q141" s="160" t="s">
        <v>30</v>
      </c>
      <c r="R141" s="160" t="s">
        <v>1083</v>
      </c>
      <c r="S141" s="160" t="s">
        <v>1431</v>
      </c>
      <c r="T141" s="160" t="s">
        <v>1429</v>
      </c>
      <c r="U141" s="160" t="s">
        <v>1430</v>
      </c>
      <c r="V141" s="19" t="s">
        <v>1694</v>
      </c>
      <c r="W141" s="160" t="s">
        <v>1709</v>
      </c>
      <c r="X141" s="160" t="s">
        <v>1867</v>
      </c>
      <c r="Y141" s="151">
        <f>IF(ISBLANK(tblRisk[[#This Row],[Threat Cluster]]),"",_xlfn.XLOOKUP(tblRisk[[#This Row],[Threat Cluster]],tblHIT[Threat Cluster],tblHIT[Quintile]))</f>
        <v>2</v>
      </c>
      <c r="Z141" s="152">
        <v>4</v>
      </c>
      <c r="AA141" s="153" t="str">
        <f>IF(OR(ISBLANK(tblRisk[[#This Row],[HIT Quintile]]),ISBLANK(tblRisk[[#This Row],[Control Maturity]])),"",_xlfn.XLOOKUP(tblRisk[[#This Row],[Control Maturity]] &amp; tblRisk[[#This Row],[HIT Quintile]],tblHITWDI[Lookup],tblHITWDI[Likelihood Description]))</f>
        <v>Foreseeable, not expected</v>
      </c>
      <c r="AB141" s="161">
        <f>IF(ISERROR(tblRisk[[#This Row],[Likelihood of Control Failure]]),"",VLOOKUP(tblRisk[[#This Row],[Likelihood of Control Failure]],tblLikelihood[],2,FALSE))</f>
        <v>2</v>
      </c>
      <c r="AC141" s="154">
        <v>3</v>
      </c>
      <c r="AD141" s="155">
        <v>3</v>
      </c>
      <c r="AE141" s="155">
        <v>4</v>
      </c>
      <c r="AF141" s="162">
        <f>IF(ISBLANK(tblRisk[[#This Row],[Impact to Mission]]),"",MAX(tblRisk[[#This Row],[Impact to Mission]:[Impact to Obligations]]))</f>
        <v>4</v>
      </c>
      <c r="AG141" s="163">
        <f>IF(ISERROR(tblRisk[[#This Row],[Impact Score]]*tblRisk[[#This Row],[Likelihood Score]]),"",tblRisk[[#This Row],[Likelihood Score]]*tblRisk[[#This Row],[Impact Score]])</f>
        <v>8</v>
      </c>
      <c r="AH141" s="163">
        <f>tblRisk[[#This Row],[Risk Score]]</f>
        <v>8</v>
      </c>
      <c r="AI141" s="164">
        <f t="shared" si="3"/>
        <v>9</v>
      </c>
      <c r="AJ141" s="164">
        <f>IF(tblRisk[[#This Row],[Safeguard Status]]="In Place",tblRisk[[#This Row],[Control Maturity after SG]],tblRisk[[#This Row],[Control Maturity]])</f>
        <v>4</v>
      </c>
      <c r="AK141" s="173" t="str">
        <f>IF(tblRisk[[#This Row],[Safeguard Status]]="In Place",tblRisk[[#This Row],[Safeguard Threat Cluster]],tblRisk[[#This Row],[Threat Cluster]])</f>
        <v>Hacking System</v>
      </c>
      <c r="AL141" s="164">
        <f>IF(tblRisk[[#This Row],[Safeguard Status]]="In Place",tblRisk[[#This Row],[Risk Level With Safeguard in Place]],tblRisk[[#This Row],[Risk Level]])</f>
        <v>8</v>
      </c>
      <c r="AM141" s="165" t="s">
        <v>1887</v>
      </c>
      <c r="AN141" s="165" t="str">
        <f>IF(tblRisk[[#This Row],[Risk Treatment Option]]="Manage",_xlfn.IFNA(INDEX(tblRiskTreatmentPrograms[#Data],MATCH(tblRisk[[#This Row],[Common Security Program]]&amp;tblRisk[[#This Row],[Common Security Control]],tblRiskTreatmentPrograms[Lookup],0),MATCH($AN$3,tblRiskTreatmentPrograms[#Headers],0)),txtBadRTP),"")</f>
        <v/>
      </c>
      <c r="AO141" s="165" t="str">
        <f>IF(tblRisk[[#This Row],[Risk Treatment Program]]="","",INDEX(tblRiskTreatmentPrograms[#Data],MATCH(tblRisk[[#This Row],[Risk Treatment Program]],tblRiskTreatmentPrograms[Risk Treatment Program],0),MATCH($AO$3,tblRiskTreatmentPrograms[#Headers],0)))</f>
        <v/>
      </c>
      <c r="AP141" s="165"/>
      <c r="AQ14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1" s="19" t="str">
        <f>tblRisk[[#This Row],[Threat Cluster]]</f>
        <v>Hacking System</v>
      </c>
      <c r="AS141" s="156">
        <f>IF(ISBLANK(tblRisk[[#This Row],[Safeguard Threat Cluster]]),"",_xlfn.XLOOKUP(tblRisk[[#This Row],[Safeguard Threat Cluster]],tblHIT[Threat Cluster],tblHIT[Quintile]))</f>
        <v>2</v>
      </c>
      <c r="AT141" s="157">
        <f>_xlfn.SWITCH(tblRisk[[#This Row],[Risk Treatment Option]],"Manage",tblRisk[[#This Row],[Control Maturity]]+1,tblRisk[[#This Row],[Control Maturity]])</f>
        <v>4</v>
      </c>
      <c r="AU14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1" s="166">
        <f>IF(ISERROR(tblRisk[[#This Row],[Likelihood of Control Failure after SG]]),"",VLOOKUP(tblRisk[[#This Row],[Likelihood of Control Failure after SG]],tblLikelihood[#Data],2,FALSE))</f>
        <v>2</v>
      </c>
      <c r="AW141" s="159">
        <f>tblRisk[[#This Row],[Impact to Mission]]</f>
        <v>3</v>
      </c>
      <c r="AX141" s="159">
        <f>tblRisk[[#This Row],[Impact to Objectives]]</f>
        <v>3</v>
      </c>
      <c r="AY141" s="159">
        <f>tblRisk[[#This Row],[Impact to Obligations]]</f>
        <v>4</v>
      </c>
      <c r="AZ141" s="166">
        <f>IF(ISBLANK(tblRisk[[#This Row],[Impact to Mission With Safeguard in Place]]),"",MAX(tblRisk[[#This Row],[Impact to Mission With Safeguard in Place]:[Impact to Obligations With Safeguard in Place]]))</f>
        <v>4</v>
      </c>
      <c r="BA141" s="167">
        <f>IF(ISERROR(tblRisk[[#This Row],[Impact Score with Safeguard in Place]]*tblRisk[[#This Row],[Likelihood Score with Safeguard in Place]]),"",tblRisk[[#This Row],[Impact Score with Safeguard in Place]]*tblRisk[[#This Row],[Likelihood Score with Safeguard in Place]])</f>
        <v>8</v>
      </c>
      <c r="BB141" s="164">
        <f>tblRisk[[#This Row],[Risk Score With Safeguard in Place]]</f>
        <v>8</v>
      </c>
      <c r="BC141" s="168" t="str">
        <f>IF(tblRisk[[#This Row],[Risk Treatment Option]]&lt;&gt;"Accept",IF(_xlfn.XLOOKUP(tblRisk[[#This Row],[Specific Safeguard Recommendation]],ProTrak[Task],ProTrak[Status],"Not Found")="Completed","Pending Validation","Pending"),"")</f>
        <v/>
      </c>
      <c r="BD141" s="169" t="str">
        <f>_xlfn.XLOOKUP(tblRisk[[#This Row],[Risk Treatment Program]],tblRiskTreatmentPrograms[Risk Treatment Program],tblRiskTreatmentPrograms[Estimated End Date (MM/DD/YYYY)],"")</f>
        <v/>
      </c>
      <c r="BE141" s="170"/>
      <c r="BF141" s="171" t="str">
        <f>_xlfn.IFNA(IF(tblRisk[[#This Row],[Due Date]]&lt;=vWhatIfQuarter,"Closed",""),"")</f>
        <v/>
      </c>
      <c r="BG141" s="171">
        <f>IF(tblRisk[[#This Row],[Scenario Builder Status]]="Closed",tblRisk[[#This Row],[Risk Score With Safeguard in Place]],tblRisk[[#This Row],[Risk Score]])</f>
        <v>8</v>
      </c>
      <c r="BH141" s="192" t="str">
        <f>tblRisk[[#This Row],[Common Security Program]]&amp;tblRisk[[#This Row],[Common Security Control]]&amp;tblRisk[[#This Row],[Asset Designation ]]</f>
        <v>Vulnerability ManagementOperationApplications</v>
      </c>
      <c r="BI141" s="191" t="s">
        <v>117</v>
      </c>
      <c r="BJ141" s="191"/>
      <c r="BK141" s="191"/>
      <c r="BL141" s="191"/>
      <c r="BM141" s="191"/>
      <c r="BN141" s="191"/>
      <c r="BO141" s="191"/>
      <c r="BP141" s="191"/>
      <c r="BQ141" s="191"/>
    </row>
    <row r="142" spans="1:69" ht="189" x14ac:dyDescent="0.65">
      <c r="A142" s="160">
        <v>139</v>
      </c>
      <c r="B142" s="160" t="s">
        <v>899</v>
      </c>
      <c r="C142" s="19" t="s">
        <v>1007</v>
      </c>
      <c r="D142" s="28" t="s">
        <v>1260</v>
      </c>
      <c r="E142" s="207" t="s">
        <v>1092</v>
      </c>
      <c r="F142" s="194"/>
      <c r="G142" s="194"/>
      <c r="H142" s="194" t="s">
        <v>117</v>
      </c>
      <c r="I142" s="194" t="s">
        <v>1080</v>
      </c>
      <c r="J142" s="194" t="s">
        <v>1080</v>
      </c>
      <c r="K142" s="194" t="s">
        <v>1080</v>
      </c>
      <c r="L142" s="194" t="s">
        <v>1080</v>
      </c>
      <c r="M142" s="194" t="s">
        <v>1080</v>
      </c>
      <c r="N142" s="194">
        <f>COUNTIF(tblRisk[[#This Row],[Defends Against Malware]:[Defends Against Targeted Intrusions]],"Yes")</f>
        <v>0</v>
      </c>
      <c r="O142" s="160" t="s">
        <v>16</v>
      </c>
      <c r="P142" s="160" t="s">
        <v>88</v>
      </c>
      <c r="Q142" s="160" t="s">
        <v>30</v>
      </c>
      <c r="R142" s="160" t="s">
        <v>1083</v>
      </c>
      <c r="S142" s="160" t="s">
        <v>1408</v>
      </c>
      <c r="T142" s="160" t="s">
        <v>1407</v>
      </c>
      <c r="U142" s="160" t="s">
        <v>1406</v>
      </c>
      <c r="V142" s="19" t="s">
        <v>1695</v>
      </c>
      <c r="W142" s="160" t="s">
        <v>1868</v>
      </c>
      <c r="X142" s="160" t="s">
        <v>1869</v>
      </c>
      <c r="Y142" s="151">
        <f>IF(ISBLANK(tblRisk[[#This Row],[Threat Cluster]]),"",_xlfn.XLOOKUP(tblRisk[[#This Row],[Threat Cluster]],tblHIT[Threat Cluster],tblHIT[Quintile]))</f>
        <v>2</v>
      </c>
      <c r="Z142" s="152">
        <v>2</v>
      </c>
      <c r="AA142" s="153" t="str">
        <f>IF(OR(ISBLANK(tblRisk[[#This Row],[HIT Quintile]]),ISBLANK(tblRisk[[#This Row],[Control Maturity]])),"",_xlfn.XLOOKUP(tblRisk[[#This Row],[Control Maturity]] &amp; tblRisk[[#This Row],[HIT Quintile]],tblHITWDI[Lookup],tblHITWDI[Likelihood Description]))</f>
        <v>Common</v>
      </c>
      <c r="AB142" s="161">
        <f>IF(ISERROR(tblRisk[[#This Row],[Likelihood of Control Failure]]),"",VLOOKUP(tblRisk[[#This Row],[Likelihood of Control Failure]],tblLikelihood[],2,FALSE))</f>
        <v>4</v>
      </c>
      <c r="AC142" s="154">
        <v>3</v>
      </c>
      <c r="AD142" s="155">
        <v>3</v>
      </c>
      <c r="AE142" s="155">
        <v>4</v>
      </c>
      <c r="AF142" s="162">
        <f>IF(ISBLANK(tblRisk[[#This Row],[Impact to Mission]]),"",MAX(tblRisk[[#This Row],[Impact to Mission]:[Impact to Obligations]]))</f>
        <v>4</v>
      </c>
      <c r="AG142" s="163">
        <f>IF(ISERROR(tblRisk[[#This Row],[Impact Score]]*tblRisk[[#This Row],[Likelihood Score]]),"",tblRisk[[#This Row],[Likelihood Score]]*tblRisk[[#This Row],[Impact Score]])</f>
        <v>16</v>
      </c>
      <c r="AH142" s="163">
        <f>tblRisk[[#This Row],[Risk Score]]</f>
        <v>16</v>
      </c>
      <c r="AI142" s="164">
        <f t="shared" si="3"/>
        <v>9</v>
      </c>
      <c r="AJ142" s="164">
        <f>IF(tblRisk[[#This Row],[Safeguard Status]]="In Place",tblRisk[[#This Row],[Control Maturity after SG]],tblRisk[[#This Row],[Control Maturity]])</f>
        <v>2</v>
      </c>
      <c r="AK142" s="173" t="str">
        <f>IF(tblRisk[[#This Row],[Safeguard Status]]="In Place",tblRisk[[#This Row],[Safeguard Threat Cluster]],tblRisk[[#This Row],[Threat Cluster]])</f>
        <v>Hacking System</v>
      </c>
      <c r="AL142" s="164">
        <f>IF(tblRisk[[#This Row],[Safeguard Status]]="In Place",tblRisk[[#This Row],[Risk Level With Safeguard in Place]],tblRisk[[#This Row],[Risk Level]])</f>
        <v>16</v>
      </c>
      <c r="AM142" s="165" t="s">
        <v>1564</v>
      </c>
      <c r="AN142"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Secure Application Development</v>
      </c>
      <c r="AO142"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Secure Application Development including:
 * training Application Development and Support resources;
 * incorporating Secure Development concepts, techniques, and compliance obligations in development and support initiatives;
 * enforcing Secure Application Development requirements when outsourcing application development and support;
 * include Secure Application Development procedures in the System Development Lifecycle (SDLC), during initiation, design, development, testing, production migration, and support;
 * reporting of Secure Application Development performance metrics
</v>
      </c>
      <c r="AP142" s="165" t="s">
        <v>1902</v>
      </c>
      <c r="AQ14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42" s="19" t="str">
        <f>tblRisk[[#This Row],[Threat Cluster]]</f>
        <v>Hacking System</v>
      </c>
      <c r="AS142" s="156">
        <f>IF(ISBLANK(tblRisk[[#This Row],[Safeguard Threat Cluster]]),"",_xlfn.XLOOKUP(tblRisk[[#This Row],[Safeguard Threat Cluster]],tblHIT[Threat Cluster],tblHIT[Quintile]))</f>
        <v>2</v>
      </c>
      <c r="AT142" s="157">
        <v>4</v>
      </c>
      <c r="AU14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2" s="166">
        <f>IF(ISERROR(tblRisk[[#This Row],[Likelihood of Control Failure after SG]]),"",VLOOKUP(tblRisk[[#This Row],[Likelihood of Control Failure after SG]],tblLikelihood[#Data],2,FALSE))</f>
        <v>2</v>
      </c>
      <c r="AW142" s="159">
        <f>tblRisk[[#This Row],[Impact to Mission]]</f>
        <v>3</v>
      </c>
      <c r="AX142" s="159">
        <f>tblRisk[[#This Row],[Impact to Objectives]]</f>
        <v>3</v>
      </c>
      <c r="AY142" s="159">
        <f>tblRisk[[#This Row],[Impact to Obligations]]</f>
        <v>4</v>
      </c>
      <c r="AZ142" s="166">
        <f>IF(ISBLANK(tblRisk[[#This Row],[Impact to Mission With Safeguard in Place]]),"",MAX(tblRisk[[#This Row],[Impact to Mission With Safeguard in Place]:[Impact to Obligations With Safeguard in Place]]))</f>
        <v>4</v>
      </c>
      <c r="BA142" s="167">
        <f>IF(ISERROR(tblRisk[[#This Row],[Impact Score with Safeguard in Place]]*tblRisk[[#This Row],[Likelihood Score with Safeguard in Place]]),"",tblRisk[[#This Row],[Impact Score with Safeguard in Place]]*tblRisk[[#This Row],[Likelihood Score with Safeguard in Place]])</f>
        <v>8</v>
      </c>
      <c r="BB142" s="164">
        <f>tblRisk[[#This Row],[Risk Score With Safeguard in Place]]</f>
        <v>8</v>
      </c>
      <c r="BC142" s="168" t="str">
        <f>IF(tblRisk[[#This Row],[Risk Treatment Option]]&lt;&gt;"Accept",IF(_xlfn.XLOOKUP(tblRisk[[#This Row],[Specific Safeguard Recommendation]],ProTrak[Task],ProTrak[Status],"Not Found")="Completed","Pending Validation","Pending"),"")</f>
        <v>Pending</v>
      </c>
      <c r="BD142" s="169" t="str">
        <f>_xlfn.XLOOKUP(tblRisk[[#This Row],[Risk Treatment Program]],tblRiskTreatmentPrograms[Risk Treatment Program],tblRiskTreatmentPrograms[Estimated End Date (MM/DD/YYYY)],"")</f>
        <v>TBD</v>
      </c>
      <c r="BE142" s="170"/>
      <c r="BF142" s="171" t="str">
        <f>_xlfn.IFNA(IF(tblRisk[[#This Row],[Due Date]]&lt;=vWhatIfQuarter,"Closed",""),"")</f>
        <v/>
      </c>
      <c r="BG142" s="171">
        <f>IF(tblRisk[[#This Row],[Scenario Builder Status]]="Closed",tblRisk[[#This Row],[Risk Score With Safeguard in Place]],tblRisk[[#This Row],[Risk Score]])</f>
        <v>16</v>
      </c>
      <c r="BH142" s="192" t="str">
        <f>tblRisk[[#This Row],[Common Security Program]]&amp;tblRisk[[#This Row],[Common Security Control]]&amp;tblRisk[[#This Row],[Asset Designation ]]</f>
        <v>Secure Application DevelopmentOperationApplications</v>
      </c>
      <c r="BI142" s="191"/>
      <c r="BJ142" s="191"/>
      <c r="BK142" s="191"/>
      <c r="BL142" s="191"/>
      <c r="BM142" s="191"/>
      <c r="BN142" s="191"/>
      <c r="BO142" s="191"/>
      <c r="BP142" s="191"/>
      <c r="BQ142" s="191"/>
    </row>
    <row r="143" spans="1:69" ht="409.5" x14ac:dyDescent="0.65">
      <c r="A143" s="160">
        <v>140</v>
      </c>
      <c r="B143" s="160" t="s">
        <v>899</v>
      </c>
      <c r="C143" s="19" t="s">
        <v>1008</v>
      </c>
      <c r="D143" s="28" t="s">
        <v>1261</v>
      </c>
      <c r="E143" s="207" t="s">
        <v>1090</v>
      </c>
      <c r="F143" s="194" t="s">
        <v>117</v>
      </c>
      <c r="G143" s="194" t="s">
        <v>117</v>
      </c>
      <c r="H143" s="194" t="s">
        <v>117</v>
      </c>
      <c r="I143" s="194" t="s">
        <v>1080</v>
      </c>
      <c r="J143" s="194" t="s">
        <v>1080</v>
      </c>
      <c r="K143" s="194" t="s">
        <v>1080</v>
      </c>
      <c r="L143" s="194" t="s">
        <v>1080</v>
      </c>
      <c r="M143" s="194" t="s">
        <v>1080</v>
      </c>
      <c r="N143" s="194">
        <f>COUNTIF(tblRisk[[#This Row],[Defends Against Malware]:[Defends Against Targeted Intrusions]],"Yes")</f>
        <v>0</v>
      </c>
      <c r="O143" s="160" t="s">
        <v>13</v>
      </c>
      <c r="P143" s="160" t="s">
        <v>88</v>
      </c>
      <c r="Q143" s="160" t="s">
        <v>33</v>
      </c>
      <c r="R143" s="160" t="s">
        <v>1087</v>
      </c>
      <c r="S143" s="160" t="s">
        <v>1399</v>
      </c>
      <c r="T143" s="160" t="s">
        <v>1398</v>
      </c>
      <c r="U143" s="160" t="s">
        <v>1396</v>
      </c>
      <c r="V143" s="160" t="s">
        <v>1696</v>
      </c>
      <c r="W143" s="160" t="s">
        <v>1709</v>
      </c>
      <c r="X143" s="160" t="s">
        <v>1870</v>
      </c>
      <c r="Y143" s="151">
        <f>IF(ISBLANK(tblRisk[[#This Row],[Threat Cluster]]),"",_xlfn.XLOOKUP(tblRisk[[#This Row],[Threat Cluster]],tblHIT[Threat Cluster],tblHIT[Quintile]))</f>
        <v>2</v>
      </c>
      <c r="Z143" s="152">
        <v>4</v>
      </c>
      <c r="AA143" s="153" t="str">
        <f>IF(OR(ISBLANK(tblRisk[[#This Row],[HIT Quintile]]),ISBLANK(tblRisk[[#This Row],[Control Maturity]])),"",_xlfn.XLOOKUP(tblRisk[[#This Row],[Control Maturity]] &amp; tblRisk[[#This Row],[HIT Quintile]],tblHITWDI[Lookup],tblHITWDI[Likelihood Description]))</f>
        <v>Foreseeable, not expected</v>
      </c>
      <c r="AB143" s="161">
        <f>IF(ISERROR(tblRisk[[#This Row],[Likelihood of Control Failure]]),"",VLOOKUP(tblRisk[[#This Row],[Likelihood of Control Failure]],tblLikelihood[],2,FALSE))</f>
        <v>2</v>
      </c>
      <c r="AC143" s="154">
        <v>4</v>
      </c>
      <c r="AD143" s="155">
        <v>4</v>
      </c>
      <c r="AE143" s="155">
        <v>4</v>
      </c>
      <c r="AF143" s="162">
        <f>IF(ISBLANK(tblRisk[[#This Row],[Impact to Mission]]),"",MAX(tblRisk[[#This Row],[Impact to Mission]:[Impact to Obligations]]))</f>
        <v>4</v>
      </c>
      <c r="AG143" s="163">
        <f>IF(ISERROR(tblRisk[[#This Row],[Impact Score]]*tblRisk[[#This Row],[Likelihood Score]]),"",tblRisk[[#This Row],[Likelihood Score]]*tblRisk[[#This Row],[Impact Score]])</f>
        <v>8</v>
      </c>
      <c r="AH143" s="163">
        <f>tblRisk[[#This Row],[Risk Score]]</f>
        <v>8</v>
      </c>
      <c r="AI143" s="164">
        <f t="shared" si="3"/>
        <v>9</v>
      </c>
      <c r="AJ143" s="164">
        <f>IF(tblRisk[[#This Row],[Safeguard Status]]="In Place",tblRisk[[#This Row],[Control Maturity after SG]],tblRisk[[#This Row],[Control Maturity]])</f>
        <v>4</v>
      </c>
      <c r="AK143" s="173" t="str">
        <f>IF(tblRisk[[#This Row],[Safeguard Status]]="In Place",tblRisk[[#This Row],[Safeguard Threat Cluster]],tblRisk[[#This Row],[Threat Cluster]])</f>
        <v>Personnel Error</v>
      </c>
      <c r="AL143" s="164">
        <f>IF(tblRisk[[#This Row],[Safeguard Status]]="In Place",tblRisk[[#This Row],[Risk Level With Safeguard in Place]],tblRisk[[#This Row],[Risk Level]])</f>
        <v>8</v>
      </c>
      <c r="AM143" s="165" t="s">
        <v>1887</v>
      </c>
      <c r="AN143" s="165" t="str">
        <f>IF(tblRisk[[#This Row],[Risk Treatment Option]]="Manage",_xlfn.IFNA(INDEX(tblRiskTreatmentPrograms[#Data],MATCH(tblRisk[[#This Row],[Common Security Program]]&amp;tblRisk[[#This Row],[Common Security Control]],tblRiskTreatmentPrograms[Lookup],0),MATCH($AN$3,tblRiskTreatmentPrograms[#Headers],0)),txtBadRTP),"")</f>
        <v/>
      </c>
      <c r="AO143" s="165" t="str">
        <f>IF(tblRisk[[#This Row],[Risk Treatment Program]]="","",INDEX(tblRiskTreatmentPrograms[#Data],MATCH(tblRisk[[#This Row],[Risk Treatment Program]],tblRiskTreatmentPrograms[Risk Treatment Program],0),MATCH($AO$3,tblRiskTreatmentPrograms[#Headers],0)))</f>
        <v/>
      </c>
      <c r="AP143" s="165"/>
      <c r="AQ14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3" s="19" t="str">
        <f>tblRisk[[#This Row],[Threat Cluster]]</f>
        <v>Personnel Error</v>
      </c>
      <c r="AS143" s="156">
        <f>IF(ISBLANK(tblRisk[[#This Row],[Safeguard Threat Cluster]]),"",_xlfn.XLOOKUP(tblRisk[[#This Row],[Safeguard Threat Cluster]],tblHIT[Threat Cluster],tblHIT[Quintile]))</f>
        <v>2</v>
      </c>
      <c r="AT143" s="157">
        <f>_xlfn.SWITCH(tblRisk[[#This Row],[Risk Treatment Option]],"Manage",tblRisk[[#This Row],[Control Maturity]]+1,tblRisk[[#This Row],[Control Maturity]])</f>
        <v>4</v>
      </c>
      <c r="AU14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3" s="166">
        <f>IF(ISERROR(tblRisk[[#This Row],[Likelihood of Control Failure after SG]]),"",VLOOKUP(tblRisk[[#This Row],[Likelihood of Control Failure after SG]],tblLikelihood[#Data],2,FALSE))</f>
        <v>2</v>
      </c>
      <c r="AW143" s="159">
        <f>tblRisk[[#This Row],[Impact to Mission]]</f>
        <v>4</v>
      </c>
      <c r="AX143" s="159">
        <f>tblRisk[[#This Row],[Impact to Objectives]]</f>
        <v>4</v>
      </c>
      <c r="AY143" s="159">
        <f>tblRisk[[#This Row],[Impact to Obligations]]</f>
        <v>4</v>
      </c>
      <c r="AZ143" s="166">
        <f>IF(ISBLANK(tblRisk[[#This Row],[Impact to Mission With Safeguard in Place]]),"",MAX(tblRisk[[#This Row],[Impact to Mission With Safeguard in Place]:[Impact to Obligations With Safeguard in Place]]))</f>
        <v>4</v>
      </c>
      <c r="BA143" s="167">
        <f>IF(ISERROR(tblRisk[[#This Row],[Impact Score with Safeguard in Place]]*tblRisk[[#This Row],[Likelihood Score with Safeguard in Place]]),"",tblRisk[[#This Row],[Impact Score with Safeguard in Place]]*tblRisk[[#This Row],[Likelihood Score with Safeguard in Place]])</f>
        <v>8</v>
      </c>
      <c r="BB143" s="164">
        <f>tblRisk[[#This Row],[Risk Score With Safeguard in Place]]</f>
        <v>8</v>
      </c>
      <c r="BC143" s="168" t="str">
        <f>IF(tblRisk[[#This Row],[Risk Treatment Option]]&lt;&gt;"Accept",IF(_xlfn.XLOOKUP(tblRisk[[#This Row],[Specific Safeguard Recommendation]],ProTrak[Task],ProTrak[Status],"Not Found")="Completed","Pending Validation","Pending"),"")</f>
        <v/>
      </c>
      <c r="BD143" s="169" t="str">
        <f>_xlfn.XLOOKUP(tblRisk[[#This Row],[Risk Treatment Program]],tblRiskTreatmentPrograms[Risk Treatment Program],tblRiskTreatmentPrograms[Estimated End Date (MM/DD/YYYY)],"")</f>
        <v/>
      </c>
      <c r="BE143" s="170"/>
      <c r="BF143" s="171" t="str">
        <f>_xlfn.IFNA(IF(tblRisk[[#This Row],[Due Date]]&lt;=vWhatIfQuarter,"Closed",""),"")</f>
        <v/>
      </c>
      <c r="BG143" s="171">
        <f>IF(tblRisk[[#This Row],[Scenario Builder Status]]="Closed",tblRisk[[#This Row],[Risk Score With Safeguard in Place]],tblRisk[[#This Row],[Risk Score]])</f>
        <v>8</v>
      </c>
      <c r="BH143" s="192" t="str">
        <f>tblRisk[[#This Row],[Common Security Program]]&amp;tblRisk[[#This Row],[Common Security Control]]&amp;tblRisk[[#This Row],[Asset Designation ]]</f>
        <v>Incident ResponseOperationN/A</v>
      </c>
      <c r="BI143" s="191"/>
      <c r="BJ143" s="191"/>
      <c r="BK143" s="191"/>
      <c r="BL143" s="191"/>
      <c r="BM143" s="191"/>
      <c r="BN143" s="191"/>
      <c r="BO143" s="191"/>
      <c r="BP143" s="191"/>
      <c r="BQ143" s="191"/>
    </row>
    <row r="144" spans="1:69" ht="63" x14ac:dyDescent="0.65">
      <c r="A144" s="160">
        <v>141</v>
      </c>
      <c r="B144" s="160" t="s">
        <v>899</v>
      </c>
      <c r="C144" s="19" t="s">
        <v>1047</v>
      </c>
      <c r="D144" s="28" t="s">
        <v>1262</v>
      </c>
      <c r="E144" s="207" t="s">
        <v>1090</v>
      </c>
      <c r="F144" s="194" t="s">
        <v>117</v>
      </c>
      <c r="G144" s="194" t="s">
        <v>117</v>
      </c>
      <c r="H144" s="194" t="s">
        <v>117</v>
      </c>
      <c r="I144" s="194" t="s">
        <v>1080</v>
      </c>
      <c r="J144" s="194" t="s">
        <v>1080</v>
      </c>
      <c r="K144" s="194" t="s">
        <v>1080</v>
      </c>
      <c r="L144" s="194" t="s">
        <v>1080</v>
      </c>
      <c r="M144" s="194" t="s">
        <v>1080</v>
      </c>
      <c r="N144" s="194">
        <f>COUNTIF(tblRisk[[#This Row],[Defends Against Malware]:[Defends Against Targeted Intrusions]],"Yes")</f>
        <v>0</v>
      </c>
      <c r="O144" s="160" t="s">
        <v>13</v>
      </c>
      <c r="P144" s="160" t="s">
        <v>86</v>
      </c>
      <c r="Q144" s="160" t="s">
        <v>33</v>
      </c>
      <c r="R144" s="160" t="s">
        <v>1087</v>
      </c>
      <c r="S144" s="160" t="s">
        <v>1397</v>
      </c>
      <c r="T144" s="160" t="s">
        <v>1395</v>
      </c>
      <c r="U144" s="160" t="s">
        <v>1396</v>
      </c>
      <c r="V144" s="160" t="s">
        <v>1697</v>
      </c>
      <c r="W144" s="160" t="s">
        <v>1709</v>
      </c>
      <c r="X144" s="160" t="s">
        <v>1871</v>
      </c>
      <c r="Y144" s="151">
        <f>IF(ISBLANK(tblRisk[[#This Row],[Threat Cluster]]),"",_xlfn.XLOOKUP(tblRisk[[#This Row],[Threat Cluster]],tblHIT[Threat Cluster],tblHIT[Quintile]))</f>
        <v>2</v>
      </c>
      <c r="Z144" s="152">
        <v>4</v>
      </c>
      <c r="AA144" s="153" t="str">
        <f>IF(OR(ISBLANK(tblRisk[[#This Row],[HIT Quintile]]),ISBLANK(tblRisk[[#This Row],[Control Maturity]])),"",_xlfn.XLOOKUP(tblRisk[[#This Row],[Control Maturity]] &amp; tblRisk[[#This Row],[HIT Quintile]],tblHITWDI[Lookup],tblHITWDI[Likelihood Description]))</f>
        <v>Foreseeable, not expected</v>
      </c>
      <c r="AB144" s="161">
        <f>IF(ISERROR(tblRisk[[#This Row],[Likelihood of Control Failure]]),"",VLOOKUP(tblRisk[[#This Row],[Likelihood of Control Failure]],tblLikelihood[],2,FALSE))</f>
        <v>2</v>
      </c>
      <c r="AC144" s="154">
        <v>4</v>
      </c>
      <c r="AD144" s="155">
        <v>4</v>
      </c>
      <c r="AE144" s="155">
        <v>4</v>
      </c>
      <c r="AF144" s="162">
        <f>IF(ISBLANK(tblRisk[[#This Row],[Impact to Mission]]),"",MAX(tblRisk[[#This Row],[Impact to Mission]:[Impact to Obligations]]))</f>
        <v>4</v>
      </c>
      <c r="AG144" s="163">
        <f>IF(ISERROR(tblRisk[[#This Row],[Impact Score]]*tblRisk[[#This Row],[Likelihood Score]]),"",tblRisk[[#This Row],[Likelihood Score]]*tblRisk[[#This Row],[Impact Score]])</f>
        <v>8</v>
      </c>
      <c r="AH144" s="163">
        <f>tblRisk[[#This Row],[Risk Score]]</f>
        <v>8</v>
      </c>
      <c r="AI144" s="164">
        <f t="shared" si="3"/>
        <v>9</v>
      </c>
      <c r="AJ144" s="164">
        <f>IF(tblRisk[[#This Row],[Safeguard Status]]="In Place",tblRisk[[#This Row],[Control Maturity after SG]],tblRisk[[#This Row],[Control Maturity]])</f>
        <v>4</v>
      </c>
      <c r="AK144" s="173" t="str">
        <f>IF(tblRisk[[#This Row],[Safeguard Status]]="In Place",tblRisk[[#This Row],[Safeguard Threat Cluster]],tblRisk[[#This Row],[Threat Cluster]])</f>
        <v>Personnel Error</v>
      </c>
      <c r="AL144" s="164">
        <f>IF(tblRisk[[#This Row],[Safeguard Status]]="In Place",tblRisk[[#This Row],[Risk Level With Safeguard in Place]],tblRisk[[#This Row],[Risk Level]])</f>
        <v>8</v>
      </c>
      <c r="AM144" s="165" t="s">
        <v>1887</v>
      </c>
      <c r="AN144" s="165" t="str">
        <f>IF(tblRisk[[#This Row],[Risk Treatment Option]]="Manage",_xlfn.IFNA(INDEX(tblRiskTreatmentPrograms[#Data],MATCH(tblRisk[[#This Row],[Common Security Program]]&amp;tblRisk[[#This Row],[Common Security Control]],tblRiskTreatmentPrograms[Lookup],0),MATCH($AN$3,tblRiskTreatmentPrograms[#Headers],0)),txtBadRTP),"")</f>
        <v/>
      </c>
      <c r="AO144" s="165" t="str">
        <f>IF(tblRisk[[#This Row],[Risk Treatment Program]]="","",INDEX(tblRiskTreatmentPrograms[#Data],MATCH(tblRisk[[#This Row],[Risk Treatment Program]],tblRiskTreatmentPrograms[Risk Treatment Program],0),MATCH($AO$3,tblRiskTreatmentPrograms[#Headers],0)))</f>
        <v/>
      </c>
      <c r="AP144" s="165"/>
      <c r="AQ14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4" s="19" t="str">
        <f>tblRisk[[#This Row],[Threat Cluster]]</f>
        <v>Personnel Error</v>
      </c>
      <c r="AS144" s="156">
        <f>IF(ISBLANK(tblRisk[[#This Row],[Safeguard Threat Cluster]]),"",_xlfn.XLOOKUP(tblRisk[[#This Row],[Safeguard Threat Cluster]],tblHIT[Threat Cluster],tblHIT[Quintile]))</f>
        <v>2</v>
      </c>
      <c r="AT144" s="157">
        <f>_xlfn.SWITCH(tblRisk[[#This Row],[Risk Treatment Option]],"Manage",tblRisk[[#This Row],[Control Maturity]]+1,tblRisk[[#This Row],[Control Maturity]])</f>
        <v>4</v>
      </c>
      <c r="AU14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4" s="166">
        <f>IF(ISERROR(tblRisk[[#This Row],[Likelihood of Control Failure after SG]]),"",VLOOKUP(tblRisk[[#This Row],[Likelihood of Control Failure after SG]],tblLikelihood[#Data],2,FALSE))</f>
        <v>2</v>
      </c>
      <c r="AW144" s="159">
        <f>tblRisk[[#This Row],[Impact to Mission]]</f>
        <v>4</v>
      </c>
      <c r="AX144" s="159">
        <f>tblRisk[[#This Row],[Impact to Objectives]]</f>
        <v>4</v>
      </c>
      <c r="AY144" s="159">
        <f>tblRisk[[#This Row],[Impact to Obligations]]</f>
        <v>4</v>
      </c>
      <c r="AZ144" s="166">
        <f>IF(ISBLANK(tblRisk[[#This Row],[Impact to Mission With Safeguard in Place]]),"",MAX(tblRisk[[#This Row],[Impact to Mission With Safeguard in Place]:[Impact to Obligations With Safeguard in Place]]))</f>
        <v>4</v>
      </c>
      <c r="BA144" s="167">
        <f>IF(ISERROR(tblRisk[[#This Row],[Impact Score with Safeguard in Place]]*tblRisk[[#This Row],[Likelihood Score with Safeguard in Place]]),"",tblRisk[[#This Row],[Impact Score with Safeguard in Place]]*tblRisk[[#This Row],[Likelihood Score with Safeguard in Place]])</f>
        <v>8</v>
      </c>
      <c r="BB144" s="164">
        <f>tblRisk[[#This Row],[Risk Score With Safeguard in Place]]</f>
        <v>8</v>
      </c>
      <c r="BC144" s="168" t="str">
        <f>IF(tblRisk[[#This Row],[Risk Treatment Option]]&lt;&gt;"Accept",IF(_xlfn.XLOOKUP(tblRisk[[#This Row],[Specific Safeguard Recommendation]],ProTrak[Task],ProTrak[Status],"Not Found")="Completed","Pending Validation","Pending"),"")</f>
        <v/>
      </c>
      <c r="BD144" s="169" t="str">
        <f>_xlfn.XLOOKUP(tblRisk[[#This Row],[Risk Treatment Program]],tblRiskTreatmentPrograms[Risk Treatment Program],tblRiskTreatmentPrograms[Estimated End Date (MM/DD/YYYY)],"")</f>
        <v/>
      </c>
      <c r="BE144" s="170"/>
      <c r="BF144" s="171" t="str">
        <f>_xlfn.IFNA(IF(tblRisk[[#This Row],[Due Date]]&lt;=vWhatIfQuarter,"Closed",""),"")</f>
        <v/>
      </c>
      <c r="BG144" s="171">
        <f>IF(tblRisk[[#This Row],[Scenario Builder Status]]="Closed",tblRisk[[#This Row],[Risk Score With Safeguard in Place]],tblRisk[[#This Row],[Risk Score]])</f>
        <v>8</v>
      </c>
      <c r="BH144" s="192" t="str">
        <f>tblRisk[[#This Row],[Common Security Program]]&amp;tblRisk[[#This Row],[Common Security Control]]&amp;tblRisk[[#This Row],[Asset Designation ]]</f>
        <v>Incident ResponseGovernanceN/A</v>
      </c>
      <c r="BI144" s="191"/>
      <c r="BJ144" s="191"/>
      <c r="BK144" s="191"/>
      <c r="BL144" s="191"/>
      <c r="BM144" s="191"/>
      <c r="BN144" s="191"/>
      <c r="BO144" s="191"/>
      <c r="BP144" s="191"/>
      <c r="BQ144" s="191"/>
    </row>
    <row r="145" spans="1:69" ht="63" x14ac:dyDescent="0.65">
      <c r="A145" s="160">
        <v>142</v>
      </c>
      <c r="B145" s="160" t="s">
        <v>899</v>
      </c>
      <c r="C145" s="19" t="s">
        <v>1048</v>
      </c>
      <c r="D145" s="28" t="s">
        <v>1263</v>
      </c>
      <c r="E145" s="207" t="s">
        <v>1090</v>
      </c>
      <c r="F145" s="194" t="s">
        <v>117</v>
      </c>
      <c r="G145" s="194" t="s">
        <v>117</v>
      </c>
      <c r="H145" s="194" t="s">
        <v>117</v>
      </c>
      <c r="I145" s="194" t="s">
        <v>1080</v>
      </c>
      <c r="J145" s="194" t="s">
        <v>1080</v>
      </c>
      <c r="K145" s="194" t="s">
        <v>1080</v>
      </c>
      <c r="L145" s="194" t="s">
        <v>1080</v>
      </c>
      <c r="M145" s="194" t="s">
        <v>1080</v>
      </c>
      <c r="N145" s="194">
        <f>COUNTIF(tblRisk[[#This Row],[Defends Against Malware]:[Defends Against Targeted Intrusions]],"Yes")</f>
        <v>0</v>
      </c>
      <c r="O145" s="160" t="s">
        <v>13</v>
      </c>
      <c r="P145" s="160" t="s">
        <v>86</v>
      </c>
      <c r="Q145" s="160" t="s">
        <v>33</v>
      </c>
      <c r="R145" s="160" t="s">
        <v>1087</v>
      </c>
      <c r="S145" s="160" t="s">
        <v>1397</v>
      </c>
      <c r="T145" s="160" t="s">
        <v>1395</v>
      </c>
      <c r="U145" s="160" t="s">
        <v>1396</v>
      </c>
      <c r="V145" s="160" t="s">
        <v>1698</v>
      </c>
      <c r="W145" s="160" t="s">
        <v>1709</v>
      </c>
      <c r="X145" s="160" t="s">
        <v>1872</v>
      </c>
      <c r="Y145" s="151">
        <f>IF(ISBLANK(tblRisk[[#This Row],[Threat Cluster]]),"",_xlfn.XLOOKUP(tblRisk[[#This Row],[Threat Cluster]],tblHIT[Threat Cluster],tblHIT[Quintile]))</f>
        <v>2</v>
      </c>
      <c r="Z145" s="152">
        <v>4</v>
      </c>
      <c r="AA145" s="153" t="str">
        <f>IF(OR(ISBLANK(tblRisk[[#This Row],[HIT Quintile]]),ISBLANK(tblRisk[[#This Row],[Control Maturity]])),"",_xlfn.XLOOKUP(tblRisk[[#This Row],[Control Maturity]] &amp; tblRisk[[#This Row],[HIT Quintile]],tblHITWDI[Lookup],tblHITWDI[Likelihood Description]))</f>
        <v>Foreseeable, not expected</v>
      </c>
      <c r="AB145" s="161">
        <f>IF(ISERROR(tblRisk[[#This Row],[Likelihood of Control Failure]]),"",VLOOKUP(tblRisk[[#This Row],[Likelihood of Control Failure]],tblLikelihood[],2,FALSE))</f>
        <v>2</v>
      </c>
      <c r="AC145" s="154">
        <v>4</v>
      </c>
      <c r="AD145" s="155">
        <v>4</v>
      </c>
      <c r="AE145" s="155">
        <v>4</v>
      </c>
      <c r="AF145" s="162">
        <f>IF(ISBLANK(tblRisk[[#This Row],[Impact to Mission]]),"",MAX(tblRisk[[#This Row],[Impact to Mission]:[Impact to Obligations]]))</f>
        <v>4</v>
      </c>
      <c r="AG145" s="163">
        <f>IF(ISERROR(tblRisk[[#This Row],[Impact Score]]*tblRisk[[#This Row],[Likelihood Score]]),"",tblRisk[[#This Row],[Likelihood Score]]*tblRisk[[#This Row],[Impact Score]])</f>
        <v>8</v>
      </c>
      <c r="AH145" s="163">
        <f>tblRisk[[#This Row],[Risk Score]]</f>
        <v>8</v>
      </c>
      <c r="AI145" s="164">
        <f t="shared" si="3"/>
        <v>9</v>
      </c>
      <c r="AJ145" s="164">
        <f>IF(tblRisk[[#This Row],[Safeguard Status]]="In Place",tblRisk[[#This Row],[Control Maturity after SG]],tblRisk[[#This Row],[Control Maturity]])</f>
        <v>4</v>
      </c>
      <c r="AK145" s="173" t="str">
        <f>IF(tblRisk[[#This Row],[Safeguard Status]]="In Place",tblRisk[[#This Row],[Safeguard Threat Cluster]],tblRisk[[#This Row],[Threat Cluster]])</f>
        <v>Personnel Error</v>
      </c>
      <c r="AL145" s="164">
        <f>IF(tblRisk[[#This Row],[Safeguard Status]]="In Place",tblRisk[[#This Row],[Risk Level With Safeguard in Place]],tblRisk[[#This Row],[Risk Level]])</f>
        <v>8</v>
      </c>
      <c r="AM145" s="165" t="s">
        <v>1887</v>
      </c>
      <c r="AN145" s="165" t="str">
        <f>IF(tblRisk[[#This Row],[Risk Treatment Option]]="Manage",_xlfn.IFNA(INDEX(tblRiskTreatmentPrograms[#Data],MATCH(tblRisk[[#This Row],[Common Security Program]]&amp;tblRisk[[#This Row],[Common Security Control]],tblRiskTreatmentPrograms[Lookup],0),MATCH($AN$3,tblRiskTreatmentPrograms[#Headers],0)),txtBadRTP),"")</f>
        <v/>
      </c>
      <c r="AO145" s="165" t="str">
        <f>IF(tblRisk[[#This Row],[Risk Treatment Program]]="","",INDEX(tblRiskTreatmentPrograms[#Data],MATCH(tblRisk[[#This Row],[Risk Treatment Program]],tblRiskTreatmentPrograms[Risk Treatment Program],0),MATCH($AO$3,tblRiskTreatmentPrograms[#Headers],0)))</f>
        <v/>
      </c>
      <c r="AP145" s="165"/>
      <c r="AQ14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5" s="19" t="str">
        <f>tblRisk[[#This Row],[Threat Cluster]]</f>
        <v>Personnel Error</v>
      </c>
      <c r="AS145" s="156">
        <f>IF(ISBLANK(tblRisk[[#This Row],[Safeguard Threat Cluster]]),"",_xlfn.XLOOKUP(tblRisk[[#This Row],[Safeguard Threat Cluster]],tblHIT[Threat Cluster],tblHIT[Quintile]))</f>
        <v>2</v>
      </c>
      <c r="AT145" s="157">
        <f>_xlfn.SWITCH(tblRisk[[#This Row],[Risk Treatment Option]],"Manage",tblRisk[[#This Row],[Control Maturity]]+1,tblRisk[[#This Row],[Control Maturity]])</f>
        <v>4</v>
      </c>
      <c r="AU14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5" s="166">
        <f>IF(ISERROR(tblRisk[[#This Row],[Likelihood of Control Failure after SG]]),"",VLOOKUP(tblRisk[[#This Row],[Likelihood of Control Failure after SG]],tblLikelihood[#Data],2,FALSE))</f>
        <v>2</v>
      </c>
      <c r="AW145" s="159">
        <f>tblRisk[[#This Row],[Impact to Mission]]</f>
        <v>4</v>
      </c>
      <c r="AX145" s="159">
        <f>tblRisk[[#This Row],[Impact to Objectives]]</f>
        <v>4</v>
      </c>
      <c r="AY145" s="159">
        <f>tblRisk[[#This Row],[Impact to Obligations]]</f>
        <v>4</v>
      </c>
      <c r="AZ145" s="166">
        <f>IF(ISBLANK(tblRisk[[#This Row],[Impact to Mission With Safeguard in Place]]),"",MAX(tblRisk[[#This Row],[Impact to Mission With Safeguard in Place]:[Impact to Obligations With Safeguard in Place]]))</f>
        <v>4</v>
      </c>
      <c r="BA145" s="167">
        <f>IF(ISERROR(tblRisk[[#This Row],[Impact Score with Safeguard in Place]]*tblRisk[[#This Row],[Likelihood Score with Safeguard in Place]]),"",tblRisk[[#This Row],[Impact Score with Safeguard in Place]]*tblRisk[[#This Row],[Likelihood Score with Safeguard in Place]])</f>
        <v>8</v>
      </c>
      <c r="BB145" s="164">
        <f>tblRisk[[#This Row],[Risk Score With Safeguard in Place]]</f>
        <v>8</v>
      </c>
      <c r="BC145" s="168" t="str">
        <f>IF(tblRisk[[#This Row],[Risk Treatment Option]]&lt;&gt;"Accept",IF(_xlfn.XLOOKUP(tblRisk[[#This Row],[Specific Safeguard Recommendation]],ProTrak[Task],ProTrak[Status],"Not Found")="Completed","Pending Validation","Pending"),"")</f>
        <v/>
      </c>
      <c r="BD145" s="169" t="str">
        <f>_xlfn.XLOOKUP(tblRisk[[#This Row],[Risk Treatment Program]],tblRiskTreatmentPrograms[Risk Treatment Program],tblRiskTreatmentPrograms[Estimated End Date (MM/DD/YYYY)],"")</f>
        <v/>
      </c>
      <c r="BE145" s="170"/>
      <c r="BF145" s="171" t="str">
        <f>_xlfn.IFNA(IF(tblRisk[[#This Row],[Due Date]]&lt;=vWhatIfQuarter,"Closed",""),"")</f>
        <v/>
      </c>
      <c r="BG145" s="171">
        <f>IF(tblRisk[[#This Row],[Scenario Builder Status]]="Closed",tblRisk[[#This Row],[Risk Score With Safeguard in Place]],tblRisk[[#This Row],[Risk Score]])</f>
        <v>8</v>
      </c>
      <c r="BH145" s="192" t="str">
        <f>tblRisk[[#This Row],[Common Security Program]]&amp;tblRisk[[#This Row],[Common Security Control]]&amp;tblRisk[[#This Row],[Asset Designation ]]</f>
        <v>Incident ResponseGovernanceN/A</v>
      </c>
      <c r="BI145" s="191"/>
      <c r="BJ145" s="191"/>
      <c r="BK145" s="191"/>
      <c r="BL145" s="191"/>
      <c r="BM145" s="191"/>
      <c r="BN145" s="191"/>
      <c r="BO145" s="191"/>
      <c r="BP145" s="191"/>
      <c r="BQ145" s="191"/>
    </row>
    <row r="146" spans="1:69" ht="63" x14ac:dyDescent="0.65">
      <c r="A146" s="160">
        <v>143</v>
      </c>
      <c r="B146" s="160" t="s">
        <v>899</v>
      </c>
      <c r="C146" s="19" t="s">
        <v>1049</v>
      </c>
      <c r="D146" s="28" t="s">
        <v>1264</v>
      </c>
      <c r="E146" s="207" t="s">
        <v>1090</v>
      </c>
      <c r="F146" s="194"/>
      <c r="G146" s="194" t="s">
        <v>117</v>
      </c>
      <c r="H146" s="194" t="s">
        <v>117</v>
      </c>
      <c r="I146" s="194" t="s">
        <v>1080</v>
      </c>
      <c r="J146" s="194" t="s">
        <v>1080</v>
      </c>
      <c r="K146" s="194" t="s">
        <v>1080</v>
      </c>
      <c r="L146" s="194" t="s">
        <v>1080</v>
      </c>
      <c r="M146" s="194" t="s">
        <v>1080</v>
      </c>
      <c r="N146" s="194">
        <f>COUNTIF(tblRisk[[#This Row],[Defends Against Malware]:[Defends Against Targeted Intrusions]],"Yes")</f>
        <v>0</v>
      </c>
      <c r="O146" s="160" t="s">
        <v>13</v>
      </c>
      <c r="P146" s="160" t="s">
        <v>86</v>
      </c>
      <c r="Q146" s="160" t="s">
        <v>33</v>
      </c>
      <c r="R146" s="160" t="s">
        <v>1087</v>
      </c>
      <c r="S146" s="160" t="s">
        <v>1397</v>
      </c>
      <c r="T146" s="160" t="s">
        <v>1395</v>
      </c>
      <c r="U146" s="160" t="s">
        <v>1396</v>
      </c>
      <c r="V146" s="160" t="s">
        <v>1699</v>
      </c>
      <c r="W146" s="160" t="s">
        <v>1709</v>
      </c>
      <c r="X146" s="160" t="s">
        <v>1873</v>
      </c>
      <c r="Y146" s="151">
        <f>IF(ISBLANK(tblRisk[[#This Row],[Threat Cluster]]),"",_xlfn.XLOOKUP(tblRisk[[#This Row],[Threat Cluster]],tblHIT[Threat Cluster],tblHIT[Quintile]))</f>
        <v>2</v>
      </c>
      <c r="Z146" s="152">
        <v>4</v>
      </c>
      <c r="AA146" s="153" t="str">
        <f>IF(OR(ISBLANK(tblRisk[[#This Row],[HIT Quintile]]),ISBLANK(tblRisk[[#This Row],[Control Maturity]])),"",_xlfn.XLOOKUP(tblRisk[[#This Row],[Control Maturity]] &amp; tblRisk[[#This Row],[HIT Quintile]],tblHITWDI[Lookup],tblHITWDI[Likelihood Description]))</f>
        <v>Foreseeable, not expected</v>
      </c>
      <c r="AB146" s="161">
        <f>IF(ISERROR(tblRisk[[#This Row],[Likelihood of Control Failure]]),"",VLOOKUP(tblRisk[[#This Row],[Likelihood of Control Failure]],tblLikelihood[],2,FALSE))</f>
        <v>2</v>
      </c>
      <c r="AC146" s="154">
        <v>4</v>
      </c>
      <c r="AD146" s="155">
        <v>4</v>
      </c>
      <c r="AE146" s="155">
        <v>4</v>
      </c>
      <c r="AF146" s="162">
        <f>IF(ISBLANK(tblRisk[[#This Row],[Impact to Mission]]),"",MAX(tblRisk[[#This Row],[Impact to Mission]:[Impact to Obligations]]))</f>
        <v>4</v>
      </c>
      <c r="AG146" s="163">
        <f>IF(ISERROR(tblRisk[[#This Row],[Impact Score]]*tblRisk[[#This Row],[Likelihood Score]]),"",tblRisk[[#This Row],[Likelihood Score]]*tblRisk[[#This Row],[Impact Score]])</f>
        <v>8</v>
      </c>
      <c r="AH146" s="163">
        <f>tblRisk[[#This Row],[Risk Score]]</f>
        <v>8</v>
      </c>
      <c r="AI146" s="164">
        <f t="shared" si="3"/>
        <v>9</v>
      </c>
      <c r="AJ146" s="164">
        <f>IF(tblRisk[[#This Row],[Safeguard Status]]="In Place",tblRisk[[#This Row],[Control Maturity after SG]],tblRisk[[#This Row],[Control Maturity]])</f>
        <v>4</v>
      </c>
      <c r="AK146" s="173" t="str">
        <f>IF(tblRisk[[#This Row],[Safeguard Status]]="In Place",tblRisk[[#This Row],[Safeguard Threat Cluster]],tblRisk[[#This Row],[Threat Cluster]])</f>
        <v>Personnel Error</v>
      </c>
      <c r="AL146" s="164">
        <f>IF(tblRisk[[#This Row],[Safeguard Status]]="In Place",tblRisk[[#This Row],[Risk Level With Safeguard in Place]],tblRisk[[#This Row],[Risk Level]])</f>
        <v>8</v>
      </c>
      <c r="AM146" s="165" t="s">
        <v>1887</v>
      </c>
      <c r="AN146" s="165" t="str">
        <f>IF(tblRisk[[#This Row],[Risk Treatment Option]]="Manage",_xlfn.IFNA(INDEX(tblRiskTreatmentPrograms[#Data],MATCH(tblRisk[[#This Row],[Common Security Program]]&amp;tblRisk[[#This Row],[Common Security Control]],tblRiskTreatmentPrograms[Lookup],0),MATCH($AN$3,tblRiskTreatmentPrograms[#Headers],0)),txtBadRTP),"")</f>
        <v/>
      </c>
      <c r="AO146" s="165" t="str">
        <f>IF(tblRisk[[#This Row],[Risk Treatment Program]]="","",INDEX(tblRiskTreatmentPrograms[#Data],MATCH(tblRisk[[#This Row],[Risk Treatment Program]],tblRiskTreatmentPrograms[Risk Treatment Program],0),MATCH($AO$3,tblRiskTreatmentPrograms[#Headers],0)))</f>
        <v/>
      </c>
      <c r="AP146" s="165"/>
      <c r="AQ14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6" s="19" t="str">
        <f>tblRisk[[#This Row],[Threat Cluster]]</f>
        <v>Personnel Error</v>
      </c>
      <c r="AS146" s="156">
        <f>IF(ISBLANK(tblRisk[[#This Row],[Safeguard Threat Cluster]]),"",_xlfn.XLOOKUP(tblRisk[[#This Row],[Safeguard Threat Cluster]],tblHIT[Threat Cluster],tblHIT[Quintile]))</f>
        <v>2</v>
      </c>
      <c r="AT146" s="157">
        <f>_xlfn.SWITCH(tblRisk[[#This Row],[Risk Treatment Option]],"Manage",tblRisk[[#This Row],[Control Maturity]]+1,tblRisk[[#This Row],[Control Maturity]])</f>
        <v>4</v>
      </c>
      <c r="AU14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6" s="166">
        <f>IF(ISERROR(tblRisk[[#This Row],[Likelihood of Control Failure after SG]]),"",VLOOKUP(tblRisk[[#This Row],[Likelihood of Control Failure after SG]],tblLikelihood[#Data],2,FALSE))</f>
        <v>2</v>
      </c>
      <c r="AW146" s="159">
        <f>tblRisk[[#This Row],[Impact to Mission]]</f>
        <v>4</v>
      </c>
      <c r="AX146" s="159">
        <f>tblRisk[[#This Row],[Impact to Objectives]]</f>
        <v>4</v>
      </c>
      <c r="AY146" s="159">
        <f>tblRisk[[#This Row],[Impact to Obligations]]</f>
        <v>4</v>
      </c>
      <c r="AZ146" s="166">
        <f>IF(ISBLANK(tblRisk[[#This Row],[Impact to Mission With Safeguard in Place]]),"",MAX(tblRisk[[#This Row],[Impact to Mission With Safeguard in Place]:[Impact to Obligations With Safeguard in Place]]))</f>
        <v>4</v>
      </c>
      <c r="BA146" s="167">
        <f>IF(ISERROR(tblRisk[[#This Row],[Impact Score with Safeguard in Place]]*tblRisk[[#This Row],[Likelihood Score with Safeguard in Place]]),"",tblRisk[[#This Row],[Impact Score with Safeguard in Place]]*tblRisk[[#This Row],[Likelihood Score with Safeguard in Place]])</f>
        <v>8</v>
      </c>
      <c r="BB146" s="164">
        <f>tblRisk[[#This Row],[Risk Score With Safeguard in Place]]</f>
        <v>8</v>
      </c>
      <c r="BC146" s="168" t="str">
        <f>IF(tblRisk[[#This Row],[Risk Treatment Option]]&lt;&gt;"Accept",IF(_xlfn.XLOOKUP(tblRisk[[#This Row],[Specific Safeguard Recommendation]],ProTrak[Task],ProTrak[Status],"Not Found")="Completed","Pending Validation","Pending"),"")</f>
        <v/>
      </c>
      <c r="BD146" s="169" t="str">
        <f>_xlfn.XLOOKUP(tblRisk[[#This Row],[Risk Treatment Program]],tblRiskTreatmentPrograms[Risk Treatment Program],tblRiskTreatmentPrograms[Estimated End Date (MM/DD/YYYY)],"")</f>
        <v/>
      </c>
      <c r="BE146" s="170"/>
      <c r="BF146" s="171" t="str">
        <f>_xlfn.IFNA(IF(tblRisk[[#This Row],[Due Date]]&lt;=vWhatIfQuarter,"Closed",""),"")</f>
        <v/>
      </c>
      <c r="BG146" s="171">
        <f>IF(tblRisk[[#This Row],[Scenario Builder Status]]="Closed",tblRisk[[#This Row],[Risk Score With Safeguard in Place]],tblRisk[[#This Row],[Risk Score]])</f>
        <v>8</v>
      </c>
      <c r="BH146" s="192" t="str">
        <f>tblRisk[[#This Row],[Common Security Program]]&amp;tblRisk[[#This Row],[Common Security Control]]&amp;tblRisk[[#This Row],[Asset Designation ]]</f>
        <v>Incident ResponseGovernanceN/A</v>
      </c>
      <c r="BI146" s="191"/>
      <c r="BJ146" s="191"/>
      <c r="BK146" s="191"/>
      <c r="BL146" s="191"/>
      <c r="BM146" s="191"/>
      <c r="BN146" s="191"/>
      <c r="BO146" s="191"/>
      <c r="BP146" s="191"/>
      <c r="BQ146" s="191"/>
    </row>
    <row r="147" spans="1:69" ht="409.5" x14ac:dyDescent="0.65">
      <c r="A147" s="160">
        <v>144</v>
      </c>
      <c r="B147" s="160" t="s">
        <v>899</v>
      </c>
      <c r="C147" s="19" t="s">
        <v>1009</v>
      </c>
      <c r="D147" s="28" t="s">
        <v>1265</v>
      </c>
      <c r="E147" s="207" t="s">
        <v>1090</v>
      </c>
      <c r="F147" s="194"/>
      <c r="G147" s="194" t="s">
        <v>117</v>
      </c>
      <c r="H147" s="194" t="s">
        <v>117</v>
      </c>
      <c r="I147" s="194" t="s">
        <v>1080</v>
      </c>
      <c r="J147" s="194" t="s">
        <v>1080</v>
      </c>
      <c r="K147" s="194" t="s">
        <v>1080</v>
      </c>
      <c r="L147" s="194" t="s">
        <v>1080</v>
      </c>
      <c r="M147" s="194" t="s">
        <v>1080</v>
      </c>
      <c r="N147" s="194">
        <f>COUNTIF(tblRisk[[#This Row],[Defends Against Malware]:[Defends Against Targeted Intrusions]],"Yes")</f>
        <v>0</v>
      </c>
      <c r="O147" s="160" t="s">
        <v>13</v>
      </c>
      <c r="P147" s="160" t="s">
        <v>88</v>
      </c>
      <c r="Q147" s="160" t="s">
        <v>33</v>
      </c>
      <c r="R147" s="160" t="s">
        <v>1087</v>
      </c>
      <c r="S147" s="160" t="s">
        <v>1399</v>
      </c>
      <c r="T147" s="160" t="s">
        <v>1398</v>
      </c>
      <c r="U147" s="160" t="s">
        <v>1396</v>
      </c>
      <c r="V147" s="160" t="s">
        <v>1700</v>
      </c>
      <c r="W147" s="160" t="s">
        <v>1709</v>
      </c>
      <c r="X147" s="160" t="s">
        <v>1874</v>
      </c>
      <c r="Y147" s="151">
        <f>IF(ISBLANK(tblRisk[[#This Row],[Threat Cluster]]),"",_xlfn.XLOOKUP(tblRisk[[#This Row],[Threat Cluster]],tblHIT[Threat Cluster],tblHIT[Quintile]))</f>
        <v>2</v>
      </c>
      <c r="Z147" s="152">
        <v>4</v>
      </c>
      <c r="AA147" s="153" t="str">
        <f>IF(OR(ISBLANK(tblRisk[[#This Row],[HIT Quintile]]),ISBLANK(tblRisk[[#This Row],[Control Maturity]])),"",_xlfn.XLOOKUP(tblRisk[[#This Row],[Control Maturity]] &amp; tblRisk[[#This Row],[HIT Quintile]],tblHITWDI[Lookup],tblHITWDI[Likelihood Description]))</f>
        <v>Foreseeable, not expected</v>
      </c>
      <c r="AB147" s="161">
        <f>IF(ISERROR(tblRisk[[#This Row],[Likelihood of Control Failure]]),"",VLOOKUP(tblRisk[[#This Row],[Likelihood of Control Failure]],tblLikelihood[],2,FALSE))</f>
        <v>2</v>
      </c>
      <c r="AC147" s="154">
        <v>4</v>
      </c>
      <c r="AD147" s="155">
        <v>4</v>
      </c>
      <c r="AE147" s="155">
        <v>4</v>
      </c>
      <c r="AF147" s="162">
        <f>IF(ISBLANK(tblRisk[[#This Row],[Impact to Mission]]),"",MAX(tblRisk[[#This Row],[Impact to Mission]:[Impact to Obligations]]))</f>
        <v>4</v>
      </c>
      <c r="AG147" s="163">
        <f>IF(ISERROR(tblRisk[[#This Row],[Impact Score]]*tblRisk[[#This Row],[Likelihood Score]]),"",tblRisk[[#This Row],[Likelihood Score]]*tblRisk[[#This Row],[Impact Score]])</f>
        <v>8</v>
      </c>
      <c r="AH147" s="163">
        <f>tblRisk[[#This Row],[Risk Score]]</f>
        <v>8</v>
      </c>
      <c r="AI147" s="164">
        <f t="shared" si="3"/>
        <v>9</v>
      </c>
      <c r="AJ147" s="164">
        <f>IF(tblRisk[[#This Row],[Safeguard Status]]="In Place",tblRisk[[#This Row],[Control Maturity after SG]],tblRisk[[#This Row],[Control Maturity]])</f>
        <v>4</v>
      </c>
      <c r="AK147" s="173" t="str">
        <f>IF(tblRisk[[#This Row],[Safeguard Status]]="In Place",tblRisk[[#This Row],[Safeguard Threat Cluster]],tblRisk[[#This Row],[Threat Cluster]])</f>
        <v>Personnel Error</v>
      </c>
      <c r="AL147" s="164">
        <f>IF(tblRisk[[#This Row],[Safeguard Status]]="In Place",tblRisk[[#This Row],[Risk Level With Safeguard in Place]],tblRisk[[#This Row],[Risk Level]])</f>
        <v>8</v>
      </c>
      <c r="AM147" s="165" t="s">
        <v>1887</v>
      </c>
      <c r="AN147" s="165" t="str">
        <f>IF(tblRisk[[#This Row],[Risk Treatment Option]]="Manage",_xlfn.IFNA(INDEX(tblRiskTreatmentPrograms[#Data],MATCH(tblRisk[[#This Row],[Common Security Program]]&amp;tblRisk[[#This Row],[Common Security Control]],tblRiskTreatmentPrograms[Lookup],0),MATCH($AN$3,tblRiskTreatmentPrograms[#Headers],0)),txtBadRTP),"")</f>
        <v/>
      </c>
      <c r="AO147" s="165" t="str">
        <f>IF(tblRisk[[#This Row],[Risk Treatment Program]]="","",INDEX(tblRiskTreatmentPrograms[#Data],MATCH(tblRisk[[#This Row],[Risk Treatment Program]],tblRiskTreatmentPrograms[Risk Treatment Program],0),MATCH($AO$3,tblRiskTreatmentPrograms[#Headers],0)))</f>
        <v/>
      </c>
      <c r="AP147" s="165"/>
      <c r="AQ147"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7" s="19" t="str">
        <f>tblRisk[[#This Row],[Threat Cluster]]</f>
        <v>Personnel Error</v>
      </c>
      <c r="AS147" s="156">
        <f>IF(ISBLANK(tblRisk[[#This Row],[Safeguard Threat Cluster]]),"",_xlfn.XLOOKUP(tblRisk[[#This Row],[Safeguard Threat Cluster]],tblHIT[Threat Cluster],tblHIT[Quintile]))</f>
        <v>2</v>
      </c>
      <c r="AT147" s="157">
        <f>_xlfn.SWITCH(tblRisk[[#This Row],[Risk Treatment Option]],"Manage",tblRisk[[#This Row],[Control Maturity]]+1,tblRisk[[#This Row],[Control Maturity]])</f>
        <v>4</v>
      </c>
      <c r="AU147"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7" s="166">
        <f>IF(ISERROR(tblRisk[[#This Row],[Likelihood of Control Failure after SG]]),"",VLOOKUP(tblRisk[[#This Row],[Likelihood of Control Failure after SG]],tblLikelihood[#Data],2,FALSE))</f>
        <v>2</v>
      </c>
      <c r="AW147" s="159">
        <f>tblRisk[[#This Row],[Impact to Mission]]</f>
        <v>4</v>
      </c>
      <c r="AX147" s="159">
        <f>tblRisk[[#This Row],[Impact to Objectives]]</f>
        <v>4</v>
      </c>
      <c r="AY147" s="159">
        <f>tblRisk[[#This Row],[Impact to Obligations]]</f>
        <v>4</v>
      </c>
      <c r="AZ147" s="166">
        <f>IF(ISBLANK(tblRisk[[#This Row],[Impact to Mission With Safeguard in Place]]),"",MAX(tblRisk[[#This Row],[Impact to Mission With Safeguard in Place]:[Impact to Obligations With Safeguard in Place]]))</f>
        <v>4</v>
      </c>
      <c r="BA147" s="167">
        <f>IF(ISERROR(tblRisk[[#This Row],[Impact Score with Safeguard in Place]]*tblRisk[[#This Row],[Likelihood Score with Safeguard in Place]]),"",tblRisk[[#This Row],[Impact Score with Safeguard in Place]]*tblRisk[[#This Row],[Likelihood Score with Safeguard in Place]])</f>
        <v>8</v>
      </c>
      <c r="BB147" s="164">
        <f>tblRisk[[#This Row],[Risk Score With Safeguard in Place]]</f>
        <v>8</v>
      </c>
      <c r="BC147" s="168" t="str">
        <f>IF(tblRisk[[#This Row],[Risk Treatment Option]]&lt;&gt;"Accept",IF(_xlfn.XLOOKUP(tblRisk[[#This Row],[Specific Safeguard Recommendation]],ProTrak[Task],ProTrak[Status],"Not Found")="Completed","Pending Validation","Pending"),"")</f>
        <v/>
      </c>
      <c r="BD147" s="169" t="str">
        <f>_xlfn.XLOOKUP(tblRisk[[#This Row],[Risk Treatment Program]],tblRiskTreatmentPrograms[Risk Treatment Program],tblRiskTreatmentPrograms[Estimated End Date (MM/DD/YYYY)],"")</f>
        <v/>
      </c>
      <c r="BE147" s="170"/>
      <c r="BF147" s="171" t="str">
        <f>_xlfn.IFNA(IF(tblRisk[[#This Row],[Due Date]]&lt;=vWhatIfQuarter,"Closed",""),"")</f>
        <v/>
      </c>
      <c r="BG147" s="171">
        <f>IF(tblRisk[[#This Row],[Scenario Builder Status]]="Closed",tblRisk[[#This Row],[Risk Score With Safeguard in Place]],tblRisk[[#This Row],[Risk Score]])</f>
        <v>8</v>
      </c>
      <c r="BH147" s="192" t="str">
        <f>tblRisk[[#This Row],[Common Security Program]]&amp;tblRisk[[#This Row],[Common Security Control]]&amp;tblRisk[[#This Row],[Asset Designation ]]</f>
        <v>Incident ResponseOperationN/A</v>
      </c>
      <c r="BI147" s="191"/>
      <c r="BJ147" s="191"/>
      <c r="BK147" s="191"/>
      <c r="BL147" s="191"/>
      <c r="BM147" s="191"/>
      <c r="BN147" s="191"/>
      <c r="BO147" s="191"/>
      <c r="BP147" s="191"/>
      <c r="BQ147" s="191"/>
    </row>
    <row r="148" spans="1:69" ht="63" x14ac:dyDescent="0.65">
      <c r="A148" s="160">
        <v>145</v>
      </c>
      <c r="B148" s="160" t="s">
        <v>899</v>
      </c>
      <c r="C148" s="19" t="s">
        <v>1050</v>
      </c>
      <c r="D148" s="28" t="s">
        <v>1266</v>
      </c>
      <c r="E148" s="207" t="s">
        <v>1090</v>
      </c>
      <c r="F148" s="194"/>
      <c r="G148" s="194" t="s">
        <v>117</v>
      </c>
      <c r="H148" s="194" t="s">
        <v>117</v>
      </c>
      <c r="I148" s="194" t="s">
        <v>1080</v>
      </c>
      <c r="J148" s="194" t="s">
        <v>1080</v>
      </c>
      <c r="K148" s="194" t="s">
        <v>1080</v>
      </c>
      <c r="L148" s="194" t="s">
        <v>1080</v>
      </c>
      <c r="M148" s="194" t="s">
        <v>1080</v>
      </c>
      <c r="N148" s="194">
        <f>COUNTIF(tblRisk[[#This Row],[Defends Against Malware]:[Defends Against Targeted Intrusions]],"Yes")</f>
        <v>0</v>
      </c>
      <c r="O148" s="160" t="s">
        <v>13</v>
      </c>
      <c r="P148" s="160" t="s">
        <v>86</v>
      </c>
      <c r="Q148" s="160" t="s">
        <v>33</v>
      </c>
      <c r="R148" s="160" t="s">
        <v>1087</v>
      </c>
      <c r="S148" s="160" t="s">
        <v>1397</v>
      </c>
      <c r="T148" s="160" t="s">
        <v>1395</v>
      </c>
      <c r="U148" s="160" t="s">
        <v>1396</v>
      </c>
      <c r="V148" s="160" t="s">
        <v>1701</v>
      </c>
      <c r="W148" s="160" t="s">
        <v>1709</v>
      </c>
      <c r="X148" s="160" t="s">
        <v>1875</v>
      </c>
      <c r="Y148" s="151">
        <f>IF(ISBLANK(tblRisk[[#This Row],[Threat Cluster]]),"",_xlfn.XLOOKUP(tblRisk[[#This Row],[Threat Cluster]],tblHIT[Threat Cluster],tblHIT[Quintile]))</f>
        <v>2</v>
      </c>
      <c r="Z148" s="152">
        <v>4</v>
      </c>
      <c r="AA148" s="153" t="str">
        <f>IF(OR(ISBLANK(tblRisk[[#This Row],[HIT Quintile]]),ISBLANK(tblRisk[[#This Row],[Control Maturity]])),"",_xlfn.XLOOKUP(tblRisk[[#This Row],[Control Maturity]] &amp; tblRisk[[#This Row],[HIT Quintile]],tblHITWDI[Lookup],tblHITWDI[Likelihood Description]))</f>
        <v>Foreseeable, not expected</v>
      </c>
      <c r="AB148" s="161">
        <f>IF(ISERROR(tblRisk[[#This Row],[Likelihood of Control Failure]]),"",VLOOKUP(tblRisk[[#This Row],[Likelihood of Control Failure]],tblLikelihood[],2,FALSE))</f>
        <v>2</v>
      </c>
      <c r="AC148" s="154">
        <v>4</v>
      </c>
      <c r="AD148" s="155">
        <v>4</v>
      </c>
      <c r="AE148" s="155">
        <v>4</v>
      </c>
      <c r="AF148" s="162">
        <f>IF(ISBLANK(tblRisk[[#This Row],[Impact to Mission]]),"",MAX(tblRisk[[#This Row],[Impact to Mission]:[Impact to Obligations]]))</f>
        <v>4</v>
      </c>
      <c r="AG148" s="163">
        <f>IF(ISERROR(tblRisk[[#This Row],[Impact Score]]*tblRisk[[#This Row],[Likelihood Score]]),"",tblRisk[[#This Row],[Likelihood Score]]*tblRisk[[#This Row],[Impact Score]])</f>
        <v>8</v>
      </c>
      <c r="AH148" s="163">
        <f>tblRisk[[#This Row],[Risk Score]]</f>
        <v>8</v>
      </c>
      <c r="AI148" s="164">
        <f t="shared" si="3"/>
        <v>9</v>
      </c>
      <c r="AJ148" s="164">
        <f>IF(tblRisk[[#This Row],[Safeguard Status]]="In Place",tblRisk[[#This Row],[Control Maturity after SG]],tblRisk[[#This Row],[Control Maturity]])</f>
        <v>4</v>
      </c>
      <c r="AK148" s="173" t="str">
        <f>IF(tblRisk[[#This Row],[Safeguard Status]]="In Place",tblRisk[[#This Row],[Safeguard Threat Cluster]],tblRisk[[#This Row],[Threat Cluster]])</f>
        <v>Personnel Error</v>
      </c>
      <c r="AL148" s="164">
        <f>IF(tblRisk[[#This Row],[Safeguard Status]]="In Place",tblRisk[[#This Row],[Risk Level With Safeguard in Place]],tblRisk[[#This Row],[Risk Level]])</f>
        <v>8</v>
      </c>
      <c r="AM148" s="165" t="s">
        <v>1887</v>
      </c>
      <c r="AN148" s="165" t="str">
        <f>IF(tblRisk[[#This Row],[Risk Treatment Option]]="Manage",_xlfn.IFNA(INDEX(tblRiskTreatmentPrograms[#Data],MATCH(tblRisk[[#This Row],[Common Security Program]]&amp;tblRisk[[#This Row],[Common Security Control]],tblRiskTreatmentPrograms[Lookup],0),MATCH($AN$3,tblRiskTreatmentPrograms[#Headers],0)),txtBadRTP),"")</f>
        <v/>
      </c>
      <c r="AO148" s="165" t="str">
        <f>IF(tblRisk[[#This Row],[Risk Treatment Program]]="","",INDEX(tblRiskTreatmentPrograms[#Data],MATCH(tblRisk[[#This Row],[Risk Treatment Program]],tblRiskTreatmentPrograms[Risk Treatment Program],0),MATCH($AO$3,tblRiskTreatmentPrograms[#Headers],0)))</f>
        <v/>
      </c>
      <c r="AP148" s="165"/>
      <c r="AQ148"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8" s="19" t="str">
        <f>tblRisk[[#This Row],[Threat Cluster]]</f>
        <v>Personnel Error</v>
      </c>
      <c r="AS148" s="156">
        <f>IF(ISBLANK(tblRisk[[#This Row],[Safeguard Threat Cluster]]),"",_xlfn.XLOOKUP(tblRisk[[#This Row],[Safeguard Threat Cluster]],tblHIT[Threat Cluster],tblHIT[Quintile]))</f>
        <v>2</v>
      </c>
      <c r="AT148" s="157">
        <f>_xlfn.SWITCH(tblRisk[[#This Row],[Risk Treatment Option]],"Manage",tblRisk[[#This Row],[Control Maturity]]+1,tblRisk[[#This Row],[Control Maturity]])</f>
        <v>4</v>
      </c>
      <c r="AU148"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8" s="166">
        <f>IF(ISERROR(tblRisk[[#This Row],[Likelihood of Control Failure after SG]]),"",VLOOKUP(tblRisk[[#This Row],[Likelihood of Control Failure after SG]],tblLikelihood[#Data],2,FALSE))</f>
        <v>2</v>
      </c>
      <c r="AW148" s="159">
        <f>tblRisk[[#This Row],[Impact to Mission]]</f>
        <v>4</v>
      </c>
      <c r="AX148" s="159">
        <f>tblRisk[[#This Row],[Impact to Objectives]]</f>
        <v>4</v>
      </c>
      <c r="AY148" s="159">
        <f>tblRisk[[#This Row],[Impact to Obligations]]</f>
        <v>4</v>
      </c>
      <c r="AZ148" s="166">
        <f>IF(ISBLANK(tblRisk[[#This Row],[Impact to Mission With Safeguard in Place]]),"",MAX(tblRisk[[#This Row],[Impact to Mission With Safeguard in Place]:[Impact to Obligations With Safeguard in Place]]))</f>
        <v>4</v>
      </c>
      <c r="BA148" s="167">
        <f>IF(ISERROR(tblRisk[[#This Row],[Impact Score with Safeguard in Place]]*tblRisk[[#This Row],[Likelihood Score with Safeguard in Place]]),"",tblRisk[[#This Row],[Impact Score with Safeguard in Place]]*tblRisk[[#This Row],[Likelihood Score with Safeguard in Place]])</f>
        <v>8</v>
      </c>
      <c r="BB148" s="164">
        <f>tblRisk[[#This Row],[Risk Score With Safeguard in Place]]</f>
        <v>8</v>
      </c>
      <c r="BC148" s="168" t="str">
        <f>IF(tblRisk[[#This Row],[Risk Treatment Option]]&lt;&gt;"Accept",IF(_xlfn.XLOOKUP(tblRisk[[#This Row],[Specific Safeguard Recommendation]],ProTrak[Task],ProTrak[Status],"Not Found")="Completed","Pending Validation","Pending"),"")</f>
        <v/>
      </c>
      <c r="BD148" s="169" t="str">
        <f>_xlfn.XLOOKUP(tblRisk[[#This Row],[Risk Treatment Program]],tblRiskTreatmentPrograms[Risk Treatment Program],tblRiskTreatmentPrograms[Estimated End Date (MM/DD/YYYY)],"")</f>
        <v/>
      </c>
      <c r="BE148" s="170"/>
      <c r="BF148" s="171" t="str">
        <f>_xlfn.IFNA(IF(tblRisk[[#This Row],[Due Date]]&lt;=vWhatIfQuarter,"Closed",""),"")</f>
        <v/>
      </c>
      <c r="BG148" s="171">
        <f>IF(tblRisk[[#This Row],[Scenario Builder Status]]="Closed",tblRisk[[#This Row],[Risk Score With Safeguard in Place]],tblRisk[[#This Row],[Risk Score]])</f>
        <v>8</v>
      </c>
      <c r="BH148" s="192" t="str">
        <f>tblRisk[[#This Row],[Common Security Program]]&amp;tblRisk[[#This Row],[Common Security Control]]&amp;tblRisk[[#This Row],[Asset Designation ]]</f>
        <v>Incident ResponseGovernanceN/A</v>
      </c>
      <c r="BI148" s="191"/>
      <c r="BJ148" s="191"/>
      <c r="BK148" s="191"/>
      <c r="BL148" s="191"/>
      <c r="BM148" s="191"/>
      <c r="BN148" s="191"/>
      <c r="BO148" s="191"/>
      <c r="BP148" s="191"/>
      <c r="BQ148" s="191"/>
    </row>
    <row r="149" spans="1:69" ht="409.5" x14ac:dyDescent="0.65">
      <c r="A149" s="160">
        <v>146</v>
      </c>
      <c r="B149" s="160" t="s">
        <v>899</v>
      </c>
      <c r="C149" s="19" t="s">
        <v>1010</v>
      </c>
      <c r="D149" s="28" t="s">
        <v>1267</v>
      </c>
      <c r="E149" s="208" t="s">
        <v>1097</v>
      </c>
      <c r="F149" s="194"/>
      <c r="G149" s="194" t="s">
        <v>117</v>
      </c>
      <c r="H149" s="194" t="s">
        <v>117</v>
      </c>
      <c r="I149" s="194" t="s">
        <v>1080</v>
      </c>
      <c r="J149" s="194" t="s">
        <v>1080</v>
      </c>
      <c r="K149" s="194" t="s">
        <v>1080</v>
      </c>
      <c r="L149" s="194" t="s">
        <v>1080</v>
      </c>
      <c r="M149" s="194" t="s">
        <v>1080</v>
      </c>
      <c r="N149" s="194">
        <f>COUNTIF(tblRisk[[#This Row],[Defends Against Malware]:[Defends Against Targeted Intrusions]],"Yes")</f>
        <v>0</v>
      </c>
      <c r="O149" s="160" t="s">
        <v>13</v>
      </c>
      <c r="P149" s="160" t="s">
        <v>88</v>
      </c>
      <c r="Q149" s="160" t="s">
        <v>33</v>
      </c>
      <c r="R149" s="160" t="s">
        <v>1087</v>
      </c>
      <c r="S149" s="160" t="s">
        <v>1399</v>
      </c>
      <c r="T149" s="160" t="s">
        <v>1398</v>
      </c>
      <c r="U149" s="160" t="s">
        <v>1396</v>
      </c>
      <c r="V149" s="160" t="s">
        <v>1702</v>
      </c>
      <c r="W149" s="160" t="s">
        <v>1709</v>
      </c>
      <c r="X149" s="160" t="s">
        <v>1876</v>
      </c>
      <c r="Y149" s="151">
        <f>IF(ISBLANK(tblRisk[[#This Row],[Threat Cluster]]),"",_xlfn.XLOOKUP(tblRisk[[#This Row],[Threat Cluster]],tblHIT[Threat Cluster],tblHIT[Quintile]))</f>
        <v>2</v>
      </c>
      <c r="Z149" s="152">
        <v>4</v>
      </c>
      <c r="AA149" s="153" t="str">
        <f>IF(OR(ISBLANK(tblRisk[[#This Row],[HIT Quintile]]),ISBLANK(tblRisk[[#This Row],[Control Maturity]])),"",_xlfn.XLOOKUP(tblRisk[[#This Row],[Control Maturity]] &amp; tblRisk[[#This Row],[HIT Quintile]],tblHITWDI[Lookup],tblHITWDI[Likelihood Description]))</f>
        <v>Foreseeable, not expected</v>
      </c>
      <c r="AB149" s="161">
        <f>IF(ISERROR(tblRisk[[#This Row],[Likelihood of Control Failure]]),"",VLOOKUP(tblRisk[[#This Row],[Likelihood of Control Failure]],tblLikelihood[],2,FALSE))</f>
        <v>2</v>
      </c>
      <c r="AC149" s="154">
        <v>4</v>
      </c>
      <c r="AD149" s="155">
        <v>4</v>
      </c>
      <c r="AE149" s="155">
        <v>4</v>
      </c>
      <c r="AF149" s="162">
        <f>IF(ISBLANK(tblRisk[[#This Row],[Impact to Mission]]),"",MAX(tblRisk[[#This Row],[Impact to Mission]:[Impact to Obligations]]))</f>
        <v>4</v>
      </c>
      <c r="AG149" s="163">
        <f>IF(ISERROR(tblRisk[[#This Row],[Impact Score]]*tblRisk[[#This Row],[Likelihood Score]]),"",tblRisk[[#This Row],[Likelihood Score]]*tblRisk[[#This Row],[Impact Score]])</f>
        <v>8</v>
      </c>
      <c r="AH149" s="163">
        <f>tblRisk[[#This Row],[Risk Score]]</f>
        <v>8</v>
      </c>
      <c r="AI149" s="164">
        <f t="shared" si="3"/>
        <v>9</v>
      </c>
      <c r="AJ149" s="164">
        <f>IF(tblRisk[[#This Row],[Safeguard Status]]="In Place",tblRisk[[#This Row],[Control Maturity after SG]],tblRisk[[#This Row],[Control Maturity]])</f>
        <v>4</v>
      </c>
      <c r="AK149" s="173" t="str">
        <f>IF(tblRisk[[#This Row],[Safeguard Status]]="In Place",tblRisk[[#This Row],[Safeguard Threat Cluster]],tblRisk[[#This Row],[Threat Cluster]])</f>
        <v>Personnel Error</v>
      </c>
      <c r="AL149" s="164">
        <f>IF(tblRisk[[#This Row],[Safeguard Status]]="In Place",tblRisk[[#This Row],[Risk Level With Safeguard in Place]],tblRisk[[#This Row],[Risk Level]])</f>
        <v>8</v>
      </c>
      <c r="AM149" s="165" t="s">
        <v>1887</v>
      </c>
      <c r="AN149" s="165" t="str">
        <f>IF(tblRisk[[#This Row],[Risk Treatment Option]]="Manage",_xlfn.IFNA(INDEX(tblRiskTreatmentPrograms[#Data],MATCH(tblRisk[[#This Row],[Common Security Program]]&amp;tblRisk[[#This Row],[Common Security Control]],tblRiskTreatmentPrograms[Lookup],0),MATCH($AN$3,tblRiskTreatmentPrograms[#Headers],0)),txtBadRTP),"")</f>
        <v/>
      </c>
      <c r="AO149" s="165" t="str">
        <f>IF(tblRisk[[#This Row],[Risk Treatment Program]]="","",INDEX(tblRiskTreatmentPrograms[#Data],MATCH(tblRisk[[#This Row],[Risk Treatment Program]],tblRiskTreatmentPrograms[Risk Treatment Program],0),MATCH($AO$3,tblRiskTreatmentPrograms[#Headers],0)))</f>
        <v/>
      </c>
      <c r="AP149" s="165"/>
      <c r="AQ149"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49" s="19" t="str">
        <f>tblRisk[[#This Row],[Threat Cluster]]</f>
        <v>Personnel Error</v>
      </c>
      <c r="AS149" s="156">
        <f>IF(ISBLANK(tblRisk[[#This Row],[Safeguard Threat Cluster]]),"",_xlfn.XLOOKUP(tblRisk[[#This Row],[Safeguard Threat Cluster]],tblHIT[Threat Cluster],tblHIT[Quintile]))</f>
        <v>2</v>
      </c>
      <c r="AT149" s="157">
        <f>_xlfn.SWITCH(tblRisk[[#This Row],[Risk Treatment Option]],"Manage",tblRisk[[#This Row],[Control Maturity]]+1,tblRisk[[#This Row],[Control Maturity]])</f>
        <v>4</v>
      </c>
      <c r="AU149"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49" s="166">
        <f>IF(ISERROR(tblRisk[[#This Row],[Likelihood of Control Failure after SG]]),"",VLOOKUP(tblRisk[[#This Row],[Likelihood of Control Failure after SG]],tblLikelihood[#Data],2,FALSE))</f>
        <v>2</v>
      </c>
      <c r="AW149" s="159">
        <f>tblRisk[[#This Row],[Impact to Mission]]</f>
        <v>4</v>
      </c>
      <c r="AX149" s="159">
        <f>tblRisk[[#This Row],[Impact to Objectives]]</f>
        <v>4</v>
      </c>
      <c r="AY149" s="159">
        <f>tblRisk[[#This Row],[Impact to Obligations]]</f>
        <v>4</v>
      </c>
      <c r="AZ149" s="166">
        <f>IF(ISBLANK(tblRisk[[#This Row],[Impact to Mission With Safeguard in Place]]),"",MAX(tblRisk[[#This Row],[Impact to Mission With Safeguard in Place]:[Impact to Obligations With Safeguard in Place]]))</f>
        <v>4</v>
      </c>
      <c r="BA149" s="167">
        <f>IF(ISERROR(tblRisk[[#This Row],[Impact Score with Safeguard in Place]]*tblRisk[[#This Row],[Likelihood Score with Safeguard in Place]]),"",tblRisk[[#This Row],[Impact Score with Safeguard in Place]]*tblRisk[[#This Row],[Likelihood Score with Safeguard in Place]])</f>
        <v>8</v>
      </c>
      <c r="BB149" s="164">
        <f>tblRisk[[#This Row],[Risk Score With Safeguard in Place]]</f>
        <v>8</v>
      </c>
      <c r="BC149" s="168" t="str">
        <f>IF(tblRisk[[#This Row],[Risk Treatment Option]]&lt;&gt;"Accept",IF(_xlfn.XLOOKUP(tblRisk[[#This Row],[Specific Safeguard Recommendation]],ProTrak[Task],ProTrak[Status],"Not Found")="Completed","Pending Validation","Pending"),"")</f>
        <v/>
      </c>
      <c r="BD149" s="169" t="str">
        <f>_xlfn.XLOOKUP(tblRisk[[#This Row],[Risk Treatment Program]],tblRiskTreatmentPrograms[Risk Treatment Program],tblRiskTreatmentPrograms[Estimated End Date (MM/DD/YYYY)],"")</f>
        <v/>
      </c>
      <c r="BE149" s="170"/>
      <c r="BF149" s="171" t="str">
        <f>_xlfn.IFNA(IF(tblRisk[[#This Row],[Due Date]]&lt;=vWhatIfQuarter,"Closed",""),"")</f>
        <v/>
      </c>
      <c r="BG149" s="171">
        <f>IF(tblRisk[[#This Row],[Scenario Builder Status]]="Closed",tblRisk[[#This Row],[Risk Score With Safeguard in Place]],tblRisk[[#This Row],[Risk Score]])</f>
        <v>8</v>
      </c>
      <c r="BH149" s="192" t="str">
        <f>tblRisk[[#This Row],[Common Security Program]]&amp;tblRisk[[#This Row],[Common Security Control]]&amp;tblRisk[[#This Row],[Asset Designation ]]</f>
        <v>Incident ResponseOperationN/A</v>
      </c>
      <c r="BI149" s="191"/>
      <c r="BJ149" s="191"/>
      <c r="BK149" s="191"/>
      <c r="BL149" s="191"/>
      <c r="BM149" s="191"/>
      <c r="BN149" s="191"/>
      <c r="BO149" s="191"/>
      <c r="BP149" s="191"/>
      <c r="BQ149" s="191"/>
    </row>
    <row r="150" spans="1:69" ht="409.5" x14ac:dyDescent="0.65">
      <c r="A150" s="160">
        <v>147</v>
      </c>
      <c r="B150" s="160" t="s">
        <v>899</v>
      </c>
      <c r="C150" s="19" t="s">
        <v>1011</v>
      </c>
      <c r="D150" s="28" t="s">
        <v>1268</v>
      </c>
      <c r="E150" s="208" t="s">
        <v>1097</v>
      </c>
      <c r="F150" s="194"/>
      <c r="G150" s="194" t="s">
        <v>117</v>
      </c>
      <c r="H150" s="194" t="s">
        <v>117</v>
      </c>
      <c r="I150" s="194" t="s">
        <v>1080</v>
      </c>
      <c r="J150" s="194" t="s">
        <v>1080</v>
      </c>
      <c r="K150" s="194" t="s">
        <v>1080</v>
      </c>
      <c r="L150" s="194" t="s">
        <v>1080</v>
      </c>
      <c r="M150" s="194" t="s">
        <v>1080</v>
      </c>
      <c r="N150" s="194">
        <f>COUNTIF(tblRisk[[#This Row],[Defends Against Malware]:[Defends Against Targeted Intrusions]],"Yes")</f>
        <v>0</v>
      </c>
      <c r="O150" s="160" t="s">
        <v>13</v>
      </c>
      <c r="P150" s="160" t="s">
        <v>88</v>
      </c>
      <c r="Q150" s="160" t="s">
        <v>33</v>
      </c>
      <c r="R150" s="160" t="s">
        <v>1087</v>
      </c>
      <c r="S150" s="160" t="s">
        <v>1399</v>
      </c>
      <c r="T150" s="160" t="s">
        <v>1398</v>
      </c>
      <c r="U150" s="160" t="s">
        <v>1396</v>
      </c>
      <c r="V150" s="160" t="s">
        <v>1703</v>
      </c>
      <c r="W150" s="160" t="s">
        <v>1709</v>
      </c>
      <c r="X150" s="160" t="s">
        <v>1877</v>
      </c>
      <c r="Y150" s="151">
        <f>IF(ISBLANK(tblRisk[[#This Row],[Threat Cluster]]),"",_xlfn.XLOOKUP(tblRisk[[#This Row],[Threat Cluster]],tblHIT[Threat Cluster],tblHIT[Quintile]))</f>
        <v>2</v>
      </c>
      <c r="Z150" s="152">
        <v>4</v>
      </c>
      <c r="AA150" s="153" t="str">
        <f>IF(OR(ISBLANK(tblRisk[[#This Row],[HIT Quintile]]),ISBLANK(tblRisk[[#This Row],[Control Maturity]])),"",_xlfn.XLOOKUP(tblRisk[[#This Row],[Control Maturity]] &amp; tblRisk[[#This Row],[HIT Quintile]],tblHITWDI[Lookup],tblHITWDI[Likelihood Description]))</f>
        <v>Foreseeable, not expected</v>
      </c>
      <c r="AB150" s="161">
        <f>IF(ISERROR(tblRisk[[#This Row],[Likelihood of Control Failure]]),"",VLOOKUP(tblRisk[[#This Row],[Likelihood of Control Failure]],tblLikelihood[],2,FALSE))</f>
        <v>2</v>
      </c>
      <c r="AC150" s="154">
        <v>4</v>
      </c>
      <c r="AD150" s="155">
        <v>4</v>
      </c>
      <c r="AE150" s="155">
        <v>4</v>
      </c>
      <c r="AF150" s="162">
        <f>IF(ISBLANK(tblRisk[[#This Row],[Impact to Mission]]),"",MAX(tblRisk[[#This Row],[Impact to Mission]:[Impact to Obligations]]))</f>
        <v>4</v>
      </c>
      <c r="AG150" s="163">
        <f>IF(ISERROR(tblRisk[[#This Row],[Impact Score]]*tblRisk[[#This Row],[Likelihood Score]]),"",tblRisk[[#This Row],[Likelihood Score]]*tblRisk[[#This Row],[Impact Score]])</f>
        <v>8</v>
      </c>
      <c r="AH150" s="163">
        <f>tblRisk[[#This Row],[Risk Score]]</f>
        <v>8</v>
      </c>
      <c r="AI150" s="164">
        <f t="shared" si="3"/>
        <v>9</v>
      </c>
      <c r="AJ150" s="164">
        <f>IF(tblRisk[[#This Row],[Safeguard Status]]="In Place",tblRisk[[#This Row],[Control Maturity after SG]],tblRisk[[#This Row],[Control Maturity]])</f>
        <v>4</v>
      </c>
      <c r="AK150" s="173" t="str">
        <f>IF(tblRisk[[#This Row],[Safeguard Status]]="In Place",tblRisk[[#This Row],[Safeguard Threat Cluster]],tblRisk[[#This Row],[Threat Cluster]])</f>
        <v>Personnel Error</v>
      </c>
      <c r="AL150" s="164">
        <f>IF(tblRisk[[#This Row],[Safeguard Status]]="In Place",tblRisk[[#This Row],[Risk Level With Safeguard in Place]],tblRisk[[#This Row],[Risk Level]])</f>
        <v>8</v>
      </c>
      <c r="AM150" s="165" t="s">
        <v>1887</v>
      </c>
      <c r="AN150" s="165" t="str">
        <f>IF(tblRisk[[#This Row],[Risk Treatment Option]]="Manage",_xlfn.IFNA(INDEX(tblRiskTreatmentPrograms[#Data],MATCH(tblRisk[[#This Row],[Common Security Program]]&amp;tblRisk[[#This Row],[Common Security Control]],tblRiskTreatmentPrograms[Lookup],0),MATCH($AN$3,tblRiskTreatmentPrograms[#Headers],0)),txtBadRTP),"")</f>
        <v/>
      </c>
      <c r="AO150" s="165" t="str">
        <f>IF(tblRisk[[#This Row],[Risk Treatment Program]]="","",INDEX(tblRiskTreatmentPrograms[#Data],MATCH(tblRisk[[#This Row],[Risk Treatment Program]],tblRiskTreatmentPrograms[Risk Treatment Program],0),MATCH($AO$3,tblRiskTreatmentPrograms[#Headers],0)))</f>
        <v/>
      </c>
      <c r="AP150" s="165"/>
      <c r="AQ150"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0" s="19" t="str">
        <f>tblRisk[[#This Row],[Threat Cluster]]</f>
        <v>Personnel Error</v>
      </c>
      <c r="AS150" s="156">
        <f>IF(ISBLANK(tblRisk[[#This Row],[Safeguard Threat Cluster]]),"",_xlfn.XLOOKUP(tblRisk[[#This Row],[Safeguard Threat Cluster]],tblHIT[Threat Cluster],tblHIT[Quintile]))</f>
        <v>2</v>
      </c>
      <c r="AT150" s="157">
        <f>_xlfn.SWITCH(tblRisk[[#This Row],[Risk Treatment Option]],"Manage",tblRisk[[#This Row],[Control Maturity]]+1,tblRisk[[#This Row],[Control Maturity]])</f>
        <v>4</v>
      </c>
      <c r="AU150"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0" s="166">
        <f>IF(ISERROR(tblRisk[[#This Row],[Likelihood of Control Failure after SG]]),"",VLOOKUP(tblRisk[[#This Row],[Likelihood of Control Failure after SG]],tblLikelihood[#Data],2,FALSE))</f>
        <v>2</v>
      </c>
      <c r="AW150" s="159">
        <f>tblRisk[[#This Row],[Impact to Mission]]</f>
        <v>4</v>
      </c>
      <c r="AX150" s="159">
        <f>tblRisk[[#This Row],[Impact to Objectives]]</f>
        <v>4</v>
      </c>
      <c r="AY150" s="159">
        <f>tblRisk[[#This Row],[Impact to Obligations]]</f>
        <v>4</v>
      </c>
      <c r="AZ150" s="166">
        <f>IF(ISBLANK(tblRisk[[#This Row],[Impact to Mission With Safeguard in Place]]),"",MAX(tblRisk[[#This Row],[Impact to Mission With Safeguard in Place]:[Impact to Obligations With Safeguard in Place]]))</f>
        <v>4</v>
      </c>
      <c r="BA150" s="167">
        <f>IF(ISERROR(tblRisk[[#This Row],[Impact Score with Safeguard in Place]]*tblRisk[[#This Row],[Likelihood Score with Safeguard in Place]]),"",tblRisk[[#This Row],[Impact Score with Safeguard in Place]]*tblRisk[[#This Row],[Likelihood Score with Safeguard in Place]])</f>
        <v>8</v>
      </c>
      <c r="BB150" s="164">
        <f>tblRisk[[#This Row],[Risk Score With Safeguard in Place]]</f>
        <v>8</v>
      </c>
      <c r="BC150" s="168" t="str">
        <f>IF(tblRisk[[#This Row],[Risk Treatment Option]]&lt;&gt;"Accept",IF(_xlfn.XLOOKUP(tblRisk[[#This Row],[Specific Safeguard Recommendation]],ProTrak[Task],ProTrak[Status],"Not Found")="Completed","Pending Validation","Pending"),"")</f>
        <v/>
      </c>
      <c r="BD150" s="169" t="str">
        <f>_xlfn.XLOOKUP(tblRisk[[#This Row],[Risk Treatment Program]],tblRiskTreatmentPrograms[Risk Treatment Program],tblRiskTreatmentPrograms[Estimated End Date (MM/DD/YYYY)],"")</f>
        <v/>
      </c>
      <c r="BE150" s="170"/>
      <c r="BF150" s="171" t="str">
        <f>_xlfn.IFNA(IF(tblRisk[[#This Row],[Due Date]]&lt;=vWhatIfQuarter,"Closed",""),"")</f>
        <v/>
      </c>
      <c r="BG150" s="171">
        <f>IF(tblRisk[[#This Row],[Scenario Builder Status]]="Closed",tblRisk[[#This Row],[Risk Score With Safeguard in Place]],tblRisk[[#This Row],[Risk Score]])</f>
        <v>8</v>
      </c>
      <c r="BH150" s="192" t="str">
        <f>tblRisk[[#This Row],[Common Security Program]]&amp;tblRisk[[#This Row],[Common Security Control]]&amp;tblRisk[[#This Row],[Asset Designation ]]</f>
        <v>Incident ResponseOperationN/A</v>
      </c>
      <c r="BI150" s="191"/>
      <c r="BJ150" s="191"/>
      <c r="BK150" s="191"/>
      <c r="BL150" s="191"/>
      <c r="BM150" s="191"/>
      <c r="BN150" s="191"/>
      <c r="BO150" s="191"/>
      <c r="BP150" s="191"/>
      <c r="BQ150" s="191"/>
    </row>
    <row r="151" spans="1:69" ht="63" x14ac:dyDescent="0.65">
      <c r="A151" s="160">
        <v>148</v>
      </c>
      <c r="B151" s="160" t="s">
        <v>899</v>
      </c>
      <c r="C151" s="19" t="s">
        <v>1051</v>
      </c>
      <c r="D151" s="28" t="s">
        <v>1269</v>
      </c>
      <c r="E151" s="208" t="s">
        <v>1097</v>
      </c>
      <c r="F151" s="194"/>
      <c r="G151" s="194"/>
      <c r="H151" s="194" t="s">
        <v>117</v>
      </c>
      <c r="I151" s="194" t="s">
        <v>1080</v>
      </c>
      <c r="J151" s="194" t="s">
        <v>1080</v>
      </c>
      <c r="K151" s="194" t="s">
        <v>1080</v>
      </c>
      <c r="L151" s="194" t="s">
        <v>1080</v>
      </c>
      <c r="M151" s="194" t="s">
        <v>1080</v>
      </c>
      <c r="N151" s="194">
        <f>COUNTIF(tblRisk[[#This Row],[Defends Against Malware]:[Defends Against Targeted Intrusions]],"Yes")</f>
        <v>0</v>
      </c>
      <c r="O151" s="160" t="s">
        <v>13</v>
      </c>
      <c r="P151" s="160" t="s">
        <v>86</v>
      </c>
      <c r="Q151" s="160" t="s">
        <v>33</v>
      </c>
      <c r="R151" s="160" t="s">
        <v>1087</v>
      </c>
      <c r="S151" s="160" t="s">
        <v>1397</v>
      </c>
      <c r="T151" s="160" t="s">
        <v>1395</v>
      </c>
      <c r="U151" s="160" t="s">
        <v>1396</v>
      </c>
      <c r="V151" s="160" t="s">
        <v>1704</v>
      </c>
      <c r="W151" s="160" t="s">
        <v>1709</v>
      </c>
      <c r="X151" s="160" t="s">
        <v>1878</v>
      </c>
      <c r="Y151" s="151">
        <f>IF(ISBLANK(tblRisk[[#This Row],[Threat Cluster]]),"",_xlfn.XLOOKUP(tblRisk[[#This Row],[Threat Cluster]],tblHIT[Threat Cluster],tblHIT[Quintile]))</f>
        <v>2</v>
      </c>
      <c r="Z151" s="152">
        <v>4</v>
      </c>
      <c r="AA151" s="153" t="str">
        <f>IF(OR(ISBLANK(tblRisk[[#This Row],[HIT Quintile]]),ISBLANK(tblRisk[[#This Row],[Control Maturity]])),"",_xlfn.XLOOKUP(tblRisk[[#This Row],[Control Maturity]] &amp; tblRisk[[#This Row],[HIT Quintile]],tblHITWDI[Lookup],tblHITWDI[Likelihood Description]))</f>
        <v>Foreseeable, not expected</v>
      </c>
      <c r="AB151" s="161">
        <f>IF(ISERROR(tblRisk[[#This Row],[Likelihood of Control Failure]]),"",VLOOKUP(tblRisk[[#This Row],[Likelihood of Control Failure]],tblLikelihood[],2,FALSE))</f>
        <v>2</v>
      </c>
      <c r="AC151" s="154">
        <v>4</v>
      </c>
      <c r="AD151" s="155">
        <v>4</v>
      </c>
      <c r="AE151" s="155">
        <v>4</v>
      </c>
      <c r="AF151" s="162">
        <f>IF(ISBLANK(tblRisk[[#This Row],[Impact to Mission]]),"",MAX(tblRisk[[#This Row],[Impact to Mission]:[Impact to Obligations]]))</f>
        <v>4</v>
      </c>
      <c r="AG151" s="163">
        <f>IF(ISERROR(tblRisk[[#This Row],[Impact Score]]*tblRisk[[#This Row],[Likelihood Score]]),"",tblRisk[[#This Row],[Likelihood Score]]*tblRisk[[#This Row],[Impact Score]])</f>
        <v>8</v>
      </c>
      <c r="AH151" s="163">
        <f>tblRisk[[#This Row],[Risk Score]]</f>
        <v>8</v>
      </c>
      <c r="AI151" s="164">
        <f t="shared" si="3"/>
        <v>9</v>
      </c>
      <c r="AJ151" s="164">
        <f>IF(tblRisk[[#This Row],[Safeguard Status]]="In Place",tblRisk[[#This Row],[Control Maturity after SG]],tblRisk[[#This Row],[Control Maturity]])</f>
        <v>4</v>
      </c>
      <c r="AK151" s="173" t="str">
        <f>IF(tblRisk[[#This Row],[Safeguard Status]]="In Place",tblRisk[[#This Row],[Safeguard Threat Cluster]],tblRisk[[#This Row],[Threat Cluster]])</f>
        <v>Personnel Error</v>
      </c>
      <c r="AL151" s="164">
        <f>IF(tblRisk[[#This Row],[Safeguard Status]]="In Place",tblRisk[[#This Row],[Risk Level With Safeguard in Place]],tblRisk[[#This Row],[Risk Level]])</f>
        <v>8</v>
      </c>
      <c r="AM151" s="165" t="s">
        <v>1887</v>
      </c>
      <c r="AN151" s="165" t="str">
        <f>IF(tblRisk[[#This Row],[Risk Treatment Option]]="Manage",_xlfn.IFNA(INDEX(tblRiskTreatmentPrograms[#Data],MATCH(tblRisk[[#This Row],[Common Security Program]]&amp;tblRisk[[#This Row],[Common Security Control]],tblRiskTreatmentPrograms[Lookup],0),MATCH($AN$3,tblRiskTreatmentPrograms[#Headers],0)),txtBadRTP),"")</f>
        <v/>
      </c>
      <c r="AO151" s="165" t="str">
        <f>IF(tblRisk[[#This Row],[Risk Treatment Program]]="","",INDEX(tblRiskTreatmentPrograms[#Data],MATCH(tblRisk[[#This Row],[Risk Treatment Program]],tblRiskTreatmentPrograms[Risk Treatment Program],0),MATCH($AO$3,tblRiskTreatmentPrograms[#Headers],0)))</f>
        <v/>
      </c>
      <c r="AP151" s="165"/>
      <c r="AQ151"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1" s="19" t="str">
        <f>tblRisk[[#This Row],[Threat Cluster]]</f>
        <v>Personnel Error</v>
      </c>
      <c r="AS151" s="156">
        <f>IF(ISBLANK(tblRisk[[#This Row],[Safeguard Threat Cluster]]),"",_xlfn.XLOOKUP(tblRisk[[#This Row],[Safeguard Threat Cluster]],tblHIT[Threat Cluster],tblHIT[Quintile]))</f>
        <v>2</v>
      </c>
      <c r="AT151" s="157">
        <f>_xlfn.SWITCH(tblRisk[[#This Row],[Risk Treatment Option]],"Manage",tblRisk[[#This Row],[Control Maturity]]+1,tblRisk[[#This Row],[Control Maturity]])</f>
        <v>4</v>
      </c>
      <c r="AU151"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1" s="166">
        <f>IF(ISERROR(tblRisk[[#This Row],[Likelihood of Control Failure after SG]]),"",VLOOKUP(tblRisk[[#This Row],[Likelihood of Control Failure after SG]],tblLikelihood[#Data],2,FALSE))</f>
        <v>2</v>
      </c>
      <c r="AW151" s="159">
        <f>tblRisk[[#This Row],[Impact to Mission]]</f>
        <v>4</v>
      </c>
      <c r="AX151" s="159">
        <f>tblRisk[[#This Row],[Impact to Objectives]]</f>
        <v>4</v>
      </c>
      <c r="AY151" s="159">
        <f>tblRisk[[#This Row],[Impact to Obligations]]</f>
        <v>4</v>
      </c>
      <c r="AZ151" s="166">
        <f>IF(ISBLANK(tblRisk[[#This Row],[Impact to Mission With Safeguard in Place]]),"",MAX(tblRisk[[#This Row],[Impact to Mission With Safeguard in Place]:[Impact to Obligations With Safeguard in Place]]))</f>
        <v>4</v>
      </c>
      <c r="BA151" s="167">
        <f>IF(ISERROR(tblRisk[[#This Row],[Impact Score with Safeguard in Place]]*tblRisk[[#This Row],[Likelihood Score with Safeguard in Place]]),"",tblRisk[[#This Row],[Impact Score with Safeguard in Place]]*tblRisk[[#This Row],[Likelihood Score with Safeguard in Place]])</f>
        <v>8</v>
      </c>
      <c r="BB151" s="164">
        <f>tblRisk[[#This Row],[Risk Score With Safeguard in Place]]</f>
        <v>8</v>
      </c>
      <c r="BC151" s="168" t="str">
        <f>IF(tblRisk[[#This Row],[Risk Treatment Option]]&lt;&gt;"Accept",IF(_xlfn.XLOOKUP(tblRisk[[#This Row],[Specific Safeguard Recommendation]],ProTrak[Task],ProTrak[Status],"Not Found")="Completed","Pending Validation","Pending"),"")</f>
        <v/>
      </c>
      <c r="BD151" s="169" t="str">
        <f>_xlfn.XLOOKUP(tblRisk[[#This Row],[Risk Treatment Program]],tblRiskTreatmentPrograms[Risk Treatment Program],tblRiskTreatmentPrograms[Estimated End Date (MM/DD/YYYY)],"")</f>
        <v/>
      </c>
      <c r="BE151" s="170"/>
      <c r="BF151" s="171" t="str">
        <f>_xlfn.IFNA(IF(tblRisk[[#This Row],[Due Date]]&lt;=vWhatIfQuarter,"Closed",""),"")</f>
        <v/>
      </c>
      <c r="BG151" s="171">
        <f>IF(tblRisk[[#This Row],[Scenario Builder Status]]="Closed",tblRisk[[#This Row],[Risk Score With Safeguard in Place]],tblRisk[[#This Row],[Risk Score]])</f>
        <v>8</v>
      </c>
      <c r="BH151" s="192" t="str">
        <f>tblRisk[[#This Row],[Common Security Program]]&amp;tblRisk[[#This Row],[Common Security Control]]&amp;tblRisk[[#This Row],[Asset Designation ]]</f>
        <v>Incident ResponseGovernanceN/A</v>
      </c>
      <c r="BI151" s="191"/>
      <c r="BJ151" s="191"/>
      <c r="BK151" s="191"/>
      <c r="BL151" s="191"/>
      <c r="BM151" s="191"/>
      <c r="BN151" s="191"/>
      <c r="BO151" s="191"/>
      <c r="BP151" s="191"/>
      <c r="BQ151" s="191"/>
    </row>
    <row r="152" spans="1:69" ht="78.75" x14ac:dyDescent="0.65">
      <c r="A152" s="160">
        <v>149</v>
      </c>
      <c r="B152" s="160" t="s">
        <v>899</v>
      </c>
      <c r="C152" s="19" t="s">
        <v>1052</v>
      </c>
      <c r="D152" s="28" t="s">
        <v>1270</v>
      </c>
      <c r="E152" s="207" t="s">
        <v>1089</v>
      </c>
      <c r="F152" s="194"/>
      <c r="G152" s="194" t="s">
        <v>117</v>
      </c>
      <c r="H152" s="194" t="s">
        <v>117</v>
      </c>
      <c r="I152" s="194" t="s">
        <v>1081</v>
      </c>
      <c r="J152" s="194" t="s">
        <v>1081</v>
      </c>
      <c r="K152" s="194" t="s">
        <v>1081</v>
      </c>
      <c r="L152" s="194" t="s">
        <v>1080</v>
      </c>
      <c r="M152" s="194" t="s">
        <v>1081</v>
      </c>
      <c r="N152" s="194">
        <f>COUNTIF(tblRisk[[#This Row],[Defends Against Malware]:[Defends Against Targeted Intrusions]],"Yes")</f>
        <v>4</v>
      </c>
      <c r="O152" s="160" t="s">
        <v>22</v>
      </c>
      <c r="P152" s="160" t="s">
        <v>86</v>
      </c>
      <c r="Q152" s="160" t="s">
        <v>30</v>
      </c>
      <c r="R152" s="160" t="s">
        <v>1083</v>
      </c>
      <c r="S152" s="160" t="s">
        <v>1087</v>
      </c>
      <c r="T152" s="160" t="s">
        <v>1427</v>
      </c>
      <c r="U152" s="160" t="s">
        <v>1428</v>
      </c>
      <c r="V152" s="19" t="s">
        <v>1914</v>
      </c>
      <c r="W152" s="160" t="s">
        <v>1709</v>
      </c>
      <c r="X152" s="160" t="s">
        <v>1879</v>
      </c>
      <c r="Y152" s="151">
        <f>IF(ISBLANK(tblRisk[[#This Row],[Threat Cluster]]),"",_xlfn.XLOOKUP(tblRisk[[#This Row],[Threat Cluster]],tblHIT[Threat Cluster],tblHIT[Quintile]))</f>
        <v>2</v>
      </c>
      <c r="Z152" s="152">
        <v>4</v>
      </c>
      <c r="AA152" s="153" t="str">
        <f>IF(OR(ISBLANK(tblRisk[[#This Row],[HIT Quintile]]),ISBLANK(tblRisk[[#This Row],[Control Maturity]])),"",_xlfn.XLOOKUP(tblRisk[[#This Row],[Control Maturity]] &amp; tblRisk[[#This Row],[HIT Quintile]],tblHITWDI[Lookup],tblHITWDI[Likelihood Description]))</f>
        <v>Foreseeable, not expected</v>
      </c>
      <c r="AB152" s="161">
        <f>IF(ISERROR(tblRisk[[#This Row],[Likelihood of Control Failure]]),"",VLOOKUP(tblRisk[[#This Row],[Likelihood of Control Failure]],tblLikelihood[],2,FALSE))</f>
        <v>2</v>
      </c>
      <c r="AC152" s="154">
        <v>3</v>
      </c>
      <c r="AD152" s="155">
        <v>3</v>
      </c>
      <c r="AE152" s="155">
        <v>3</v>
      </c>
      <c r="AF152" s="162">
        <f>IF(ISBLANK(tblRisk[[#This Row],[Impact to Mission]]),"",MAX(tblRisk[[#This Row],[Impact to Mission]:[Impact to Obligations]]))</f>
        <v>3</v>
      </c>
      <c r="AG152" s="163">
        <f>IF(ISERROR(tblRisk[[#This Row],[Impact Score]]*tblRisk[[#This Row],[Likelihood Score]]),"",tblRisk[[#This Row],[Likelihood Score]]*tblRisk[[#This Row],[Impact Score]])</f>
        <v>6</v>
      </c>
      <c r="AH152" s="163">
        <f>tblRisk[[#This Row],[Risk Score]]</f>
        <v>6</v>
      </c>
      <c r="AI152" s="164">
        <f t="shared" si="3"/>
        <v>9</v>
      </c>
      <c r="AJ152" s="164">
        <f>IF(tblRisk[[#This Row],[Safeguard Status]]="In Place",tblRisk[[#This Row],[Control Maturity after SG]],tblRisk[[#This Row],[Control Maturity]])</f>
        <v>4</v>
      </c>
      <c r="AK152" s="173" t="str">
        <f>IF(tblRisk[[#This Row],[Safeguard Status]]="In Place",tblRisk[[#This Row],[Safeguard Threat Cluster]],tblRisk[[#This Row],[Threat Cluster]])</f>
        <v>Hacking System</v>
      </c>
      <c r="AL152" s="164">
        <f>IF(tblRisk[[#This Row],[Safeguard Status]]="In Place",tblRisk[[#This Row],[Risk Level With Safeguard in Place]],tblRisk[[#This Row],[Risk Level]])</f>
        <v>6</v>
      </c>
      <c r="AM152" s="165" t="s">
        <v>1887</v>
      </c>
      <c r="AN152" s="165" t="str">
        <f>IF(tblRisk[[#This Row],[Risk Treatment Option]]="Manage",_xlfn.IFNA(INDEX(tblRiskTreatmentPrograms[#Data],MATCH(tblRisk[[#This Row],[Common Security Program]]&amp;tblRisk[[#This Row],[Common Security Control]],tblRiskTreatmentPrograms[Lookup],0),MATCH($AN$3,tblRiskTreatmentPrograms[#Headers],0)),txtBadRTP),"")</f>
        <v/>
      </c>
      <c r="AO152" s="165" t="str">
        <f>IF(tblRisk[[#This Row],[Risk Treatment Program]]="","",INDEX(tblRiskTreatmentPrograms[#Data],MATCH(tblRisk[[#This Row],[Risk Treatment Program]],tblRiskTreatmentPrograms[Risk Treatment Program],0),MATCH($AO$3,tblRiskTreatmentPrograms[#Headers],0)))</f>
        <v/>
      </c>
      <c r="AP152" s="165"/>
      <c r="AQ152"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2" s="19" t="str">
        <f>tblRisk[[#This Row],[Threat Cluster]]</f>
        <v>Hacking System</v>
      </c>
      <c r="AS152" s="156">
        <f>IF(ISBLANK(tblRisk[[#This Row],[Safeguard Threat Cluster]]),"",_xlfn.XLOOKUP(tblRisk[[#This Row],[Safeguard Threat Cluster]],tblHIT[Threat Cluster],tblHIT[Quintile]))</f>
        <v>2</v>
      </c>
      <c r="AT152" s="157">
        <f>_xlfn.SWITCH(tblRisk[[#This Row],[Risk Treatment Option]],"Manage",tblRisk[[#This Row],[Control Maturity]]+1,tblRisk[[#This Row],[Control Maturity]])</f>
        <v>4</v>
      </c>
      <c r="AU152"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2" s="166">
        <f>IF(ISERROR(tblRisk[[#This Row],[Likelihood of Control Failure after SG]]),"",VLOOKUP(tblRisk[[#This Row],[Likelihood of Control Failure after SG]],tblLikelihood[#Data],2,FALSE))</f>
        <v>2</v>
      </c>
      <c r="AW152" s="159">
        <f>tblRisk[[#This Row],[Impact to Mission]]</f>
        <v>3</v>
      </c>
      <c r="AX152" s="159">
        <f>tblRisk[[#This Row],[Impact to Objectives]]</f>
        <v>3</v>
      </c>
      <c r="AY152" s="159">
        <f>tblRisk[[#This Row],[Impact to Obligations]]</f>
        <v>3</v>
      </c>
      <c r="AZ152" s="166">
        <f>IF(ISBLANK(tblRisk[[#This Row],[Impact to Mission With Safeguard in Place]]),"",MAX(tblRisk[[#This Row],[Impact to Mission With Safeguard in Place]:[Impact to Obligations With Safeguard in Place]]))</f>
        <v>3</v>
      </c>
      <c r="BA152" s="167">
        <f>IF(ISERROR(tblRisk[[#This Row],[Impact Score with Safeguard in Place]]*tblRisk[[#This Row],[Likelihood Score with Safeguard in Place]]),"",tblRisk[[#This Row],[Impact Score with Safeguard in Place]]*tblRisk[[#This Row],[Likelihood Score with Safeguard in Place]])</f>
        <v>6</v>
      </c>
      <c r="BB152" s="164">
        <f>tblRisk[[#This Row],[Risk Score With Safeguard in Place]]</f>
        <v>6</v>
      </c>
      <c r="BC152" s="168" t="str">
        <f>IF(tblRisk[[#This Row],[Risk Treatment Option]]&lt;&gt;"Accept",IF(_xlfn.XLOOKUP(tblRisk[[#This Row],[Specific Safeguard Recommendation]],ProTrak[Task],ProTrak[Status],"Not Found")="Completed","Pending Validation","Pending"),"")</f>
        <v/>
      </c>
      <c r="BD152" s="169" t="str">
        <f>_xlfn.XLOOKUP(tblRisk[[#This Row],[Risk Treatment Program]],tblRiskTreatmentPrograms[Risk Treatment Program],tblRiskTreatmentPrograms[Estimated End Date (MM/DD/YYYY)],"")</f>
        <v/>
      </c>
      <c r="BE152" s="170"/>
      <c r="BF152" s="171" t="str">
        <f>_xlfn.IFNA(IF(tblRisk[[#This Row],[Due Date]]&lt;=vWhatIfQuarter,"Closed",""),"")</f>
        <v/>
      </c>
      <c r="BG152" s="171">
        <f>IF(tblRisk[[#This Row],[Scenario Builder Status]]="Closed",tblRisk[[#This Row],[Risk Score With Safeguard in Place]],tblRisk[[#This Row],[Risk Score]])</f>
        <v>6</v>
      </c>
      <c r="BH152" s="192" t="str">
        <f>tblRisk[[#This Row],[Common Security Program]]&amp;tblRisk[[#This Row],[Common Security Control]]&amp;tblRisk[[#This Row],[Asset Designation ]]</f>
        <v>Vulnerability ManagementGovernanceApplications</v>
      </c>
      <c r="BI152" s="191" t="s">
        <v>117</v>
      </c>
      <c r="BJ152" s="191"/>
      <c r="BK152" s="191"/>
      <c r="BL152" s="191"/>
      <c r="BM152" s="191"/>
      <c r="BN152" s="191"/>
      <c r="BO152" s="191"/>
      <c r="BP152" s="191"/>
      <c r="BQ152" s="191"/>
    </row>
    <row r="153" spans="1:69" ht="299.25" x14ac:dyDescent="0.65">
      <c r="A153" s="160">
        <v>150</v>
      </c>
      <c r="B153" s="160" t="s">
        <v>899</v>
      </c>
      <c r="C153" s="19" t="s">
        <v>1012</v>
      </c>
      <c r="D153" s="28" t="s">
        <v>1271</v>
      </c>
      <c r="E153" s="207" t="s">
        <v>1089</v>
      </c>
      <c r="F153" s="194"/>
      <c r="G153" s="194" t="s">
        <v>117</v>
      </c>
      <c r="H153" s="194" t="s">
        <v>117</v>
      </c>
      <c r="I153" s="194" t="s">
        <v>1081</v>
      </c>
      <c r="J153" s="194" t="s">
        <v>1081</v>
      </c>
      <c r="K153" s="194" t="s">
        <v>1081</v>
      </c>
      <c r="L153" s="194" t="s">
        <v>1081</v>
      </c>
      <c r="M153" s="194" t="s">
        <v>1081</v>
      </c>
      <c r="N153" s="194">
        <f>COUNTIF(tblRisk[[#This Row],[Defends Against Malware]:[Defends Against Targeted Intrusions]],"Yes")</f>
        <v>5</v>
      </c>
      <c r="O153" s="160" t="s">
        <v>22</v>
      </c>
      <c r="P153" s="160" t="s">
        <v>88</v>
      </c>
      <c r="Q153" s="160" t="s">
        <v>611</v>
      </c>
      <c r="R153" s="160" t="s">
        <v>1085</v>
      </c>
      <c r="S153" s="160" t="s">
        <v>1431</v>
      </c>
      <c r="T153" s="160" t="s">
        <v>1429</v>
      </c>
      <c r="U153" s="160" t="s">
        <v>1430</v>
      </c>
      <c r="V153" s="19" t="s">
        <v>1706</v>
      </c>
      <c r="W153" s="160" t="s">
        <v>1709</v>
      </c>
      <c r="X153" s="160" t="s">
        <v>1880</v>
      </c>
      <c r="Y153" s="151">
        <f>IF(ISBLANK(tblRisk[[#This Row],[Threat Cluster]]),"",_xlfn.XLOOKUP(tblRisk[[#This Row],[Threat Cluster]],tblHIT[Threat Cluster],tblHIT[Quintile]))</f>
        <v>3</v>
      </c>
      <c r="Z153" s="152">
        <v>4</v>
      </c>
      <c r="AA153" s="153" t="str">
        <f>IF(OR(ISBLANK(tblRisk[[#This Row],[HIT Quintile]]),ISBLANK(tblRisk[[#This Row],[Control Maturity]])),"",_xlfn.XLOOKUP(tblRisk[[#This Row],[Control Maturity]] &amp; tblRisk[[#This Row],[HIT Quintile]],tblHITWDI[Lookup],tblHITWDI[Likelihood Description]))</f>
        <v>Foreseeable, not expected</v>
      </c>
      <c r="AB153" s="161">
        <f>IF(ISERROR(tblRisk[[#This Row],[Likelihood of Control Failure]]),"",VLOOKUP(tblRisk[[#This Row],[Likelihood of Control Failure]],tblLikelihood[],2,FALSE))</f>
        <v>2</v>
      </c>
      <c r="AC153" s="154">
        <v>3</v>
      </c>
      <c r="AD153" s="155">
        <v>3</v>
      </c>
      <c r="AE153" s="155">
        <v>3</v>
      </c>
      <c r="AF153" s="162">
        <f>IF(ISBLANK(tblRisk[[#This Row],[Impact to Mission]]),"",MAX(tblRisk[[#This Row],[Impact to Mission]:[Impact to Obligations]]))</f>
        <v>3</v>
      </c>
      <c r="AG153" s="163">
        <f>IF(ISERROR(tblRisk[[#This Row],[Impact Score]]*tblRisk[[#This Row],[Likelihood Score]]),"",tblRisk[[#This Row],[Likelihood Score]]*tblRisk[[#This Row],[Impact Score]])</f>
        <v>6</v>
      </c>
      <c r="AH153" s="163">
        <f>tblRisk[[#This Row],[Risk Score]]</f>
        <v>6</v>
      </c>
      <c r="AI153" s="164">
        <f t="shared" si="3"/>
        <v>9</v>
      </c>
      <c r="AJ153" s="164">
        <f>IF(tblRisk[[#This Row],[Safeguard Status]]="In Place",tblRisk[[#This Row],[Control Maturity after SG]],tblRisk[[#This Row],[Control Maturity]])</f>
        <v>4</v>
      </c>
      <c r="AK153" s="173" t="str">
        <f>IF(tblRisk[[#This Row],[Safeguard Status]]="In Place",tblRisk[[#This Row],[Safeguard Threat Cluster]],tblRisk[[#This Row],[Threat Cluster]])</f>
        <v>Physical Facility</v>
      </c>
      <c r="AL153" s="164">
        <f>IF(tblRisk[[#This Row],[Safeguard Status]]="In Place",tblRisk[[#This Row],[Risk Level With Safeguard in Place]],tblRisk[[#This Row],[Risk Level]])</f>
        <v>6</v>
      </c>
      <c r="AM153" s="165" t="s">
        <v>1887</v>
      </c>
      <c r="AN153" s="165" t="str">
        <f>IF(tblRisk[[#This Row],[Risk Treatment Option]]="Manage",_xlfn.IFNA(INDEX(tblRiskTreatmentPrograms[#Data],MATCH(tblRisk[[#This Row],[Common Security Program]]&amp;tblRisk[[#This Row],[Common Security Control]],tblRiskTreatmentPrograms[Lookup],0),MATCH($AN$3,tblRiskTreatmentPrograms[#Headers],0)),txtBadRTP),"")</f>
        <v/>
      </c>
      <c r="AO153" s="165" t="str">
        <f>IF(tblRisk[[#This Row],[Risk Treatment Program]]="","",INDEX(tblRiskTreatmentPrograms[#Data],MATCH(tblRisk[[#This Row],[Risk Treatment Program]],tblRiskTreatmentPrograms[Risk Treatment Program],0),MATCH($AO$3,tblRiskTreatmentPrograms[#Headers],0)))</f>
        <v/>
      </c>
      <c r="AP153" s="165"/>
      <c r="AQ153"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3" s="19" t="str">
        <f>tblRisk[[#This Row],[Threat Cluster]]</f>
        <v>Physical Facility</v>
      </c>
      <c r="AS153" s="156">
        <f>IF(ISBLANK(tblRisk[[#This Row],[Safeguard Threat Cluster]]),"",_xlfn.XLOOKUP(tblRisk[[#This Row],[Safeguard Threat Cluster]],tblHIT[Threat Cluster],tblHIT[Quintile]))</f>
        <v>3</v>
      </c>
      <c r="AT153" s="157">
        <f>_xlfn.SWITCH(tblRisk[[#This Row],[Risk Treatment Option]],"Manage",tblRisk[[#This Row],[Control Maturity]]+1,tblRisk[[#This Row],[Control Maturity]])</f>
        <v>4</v>
      </c>
      <c r="AU153"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3" s="166">
        <f>IF(ISERROR(tblRisk[[#This Row],[Likelihood of Control Failure after SG]]),"",VLOOKUP(tblRisk[[#This Row],[Likelihood of Control Failure after SG]],tblLikelihood[#Data],2,FALSE))</f>
        <v>2</v>
      </c>
      <c r="AW153" s="159">
        <f>tblRisk[[#This Row],[Impact to Mission]]</f>
        <v>3</v>
      </c>
      <c r="AX153" s="159">
        <f>tblRisk[[#This Row],[Impact to Objectives]]</f>
        <v>3</v>
      </c>
      <c r="AY153" s="159">
        <f>tblRisk[[#This Row],[Impact to Obligations]]</f>
        <v>3</v>
      </c>
      <c r="AZ153" s="166">
        <f>IF(ISBLANK(tblRisk[[#This Row],[Impact to Mission With Safeguard in Place]]),"",MAX(tblRisk[[#This Row],[Impact to Mission With Safeguard in Place]:[Impact to Obligations With Safeguard in Place]]))</f>
        <v>3</v>
      </c>
      <c r="BA153" s="167">
        <f>IF(ISERROR(tblRisk[[#This Row],[Impact Score with Safeguard in Place]]*tblRisk[[#This Row],[Likelihood Score with Safeguard in Place]]),"",tblRisk[[#This Row],[Impact Score with Safeguard in Place]]*tblRisk[[#This Row],[Likelihood Score with Safeguard in Place]])</f>
        <v>6</v>
      </c>
      <c r="BB153" s="164">
        <f>tblRisk[[#This Row],[Risk Score With Safeguard in Place]]</f>
        <v>6</v>
      </c>
      <c r="BC153" s="168" t="str">
        <f>IF(tblRisk[[#This Row],[Risk Treatment Option]]&lt;&gt;"Accept",IF(_xlfn.XLOOKUP(tblRisk[[#This Row],[Specific Safeguard Recommendation]],ProTrak[Task],ProTrak[Status],"Not Found")="Completed","Pending Validation","Pending"),"")</f>
        <v/>
      </c>
      <c r="BD153" s="169" t="str">
        <f>_xlfn.XLOOKUP(tblRisk[[#This Row],[Risk Treatment Program]],tblRiskTreatmentPrograms[Risk Treatment Program],tblRiskTreatmentPrograms[Estimated End Date (MM/DD/YYYY)],"")</f>
        <v/>
      </c>
      <c r="BE153" s="170"/>
      <c r="BF153" s="171" t="str">
        <f>_xlfn.IFNA(IF(tblRisk[[#This Row],[Due Date]]&lt;=vWhatIfQuarter,"Closed",""),"")</f>
        <v/>
      </c>
      <c r="BG153" s="171">
        <f>IF(tblRisk[[#This Row],[Scenario Builder Status]]="Closed",tblRisk[[#This Row],[Risk Score With Safeguard in Place]],tblRisk[[#This Row],[Risk Score]])</f>
        <v>6</v>
      </c>
      <c r="BH153" s="192" t="str">
        <f>tblRisk[[#This Row],[Common Security Program]]&amp;tblRisk[[#This Row],[Common Security Control]]&amp;tblRisk[[#This Row],[Asset Designation ]]</f>
        <v>Vulnerability ManagementOperationNetwork</v>
      </c>
      <c r="BI153" s="191" t="s">
        <v>117</v>
      </c>
      <c r="BJ153" s="191"/>
      <c r="BK153" s="191"/>
      <c r="BL153" s="191"/>
      <c r="BM153" s="191"/>
      <c r="BN153" s="191"/>
      <c r="BO153" s="191"/>
      <c r="BP153" s="191"/>
      <c r="BQ153" s="191"/>
    </row>
    <row r="154" spans="1:69" ht="299.25" x14ac:dyDescent="0.65">
      <c r="A154" s="160">
        <v>151</v>
      </c>
      <c r="B154" s="160" t="s">
        <v>899</v>
      </c>
      <c r="C154" s="19" t="s">
        <v>1013</v>
      </c>
      <c r="D154" s="28" t="s">
        <v>1272</v>
      </c>
      <c r="E154" s="207" t="s">
        <v>1092</v>
      </c>
      <c r="F154" s="194"/>
      <c r="G154" s="194" t="s">
        <v>117</v>
      </c>
      <c r="H154" s="194" t="s">
        <v>117</v>
      </c>
      <c r="I154" s="194" t="s">
        <v>1081</v>
      </c>
      <c r="J154" s="194" t="s">
        <v>1081</v>
      </c>
      <c r="K154" s="194" t="s">
        <v>1081</v>
      </c>
      <c r="L154" s="194" t="s">
        <v>1081</v>
      </c>
      <c r="M154" s="194" t="s">
        <v>1081</v>
      </c>
      <c r="N154" s="194">
        <f>COUNTIF(tblRisk[[#This Row],[Defends Against Malware]:[Defends Against Targeted Intrusions]],"Yes")</f>
        <v>5</v>
      </c>
      <c r="O154" s="160" t="s">
        <v>22</v>
      </c>
      <c r="P154" s="160" t="s">
        <v>88</v>
      </c>
      <c r="Q154" s="160" t="s">
        <v>611</v>
      </c>
      <c r="R154" s="160" t="s">
        <v>1085</v>
      </c>
      <c r="S154" s="160" t="s">
        <v>1431</v>
      </c>
      <c r="T154" s="160" t="s">
        <v>1429</v>
      </c>
      <c r="U154" s="160" t="s">
        <v>1430</v>
      </c>
      <c r="V154" s="19" t="s">
        <v>1707</v>
      </c>
      <c r="W154" s="160" t="s">
        <v>1881</v>
      </c>
      <c r="X154" s="160" t="s">
        <v>1882</v>
      </c>
      <c r="Y154" s="151">
        <f>IF(ISBLANK(tblRisk[[#This Row],[Threat Cluster]]),"",_xlfn.XLOOKUP(tblRisk[[#This Row],[Threat Cluster]],tblHIT[Threat Cluster],tblHIT[Quintile]))</f>
        <v>3</v>
      </c>
      <c r="Z154" s="152">
        <v>2</v>
      </c>
      <c r="AA154" s="153" t="str">
        <f>IF(OR(ISBLANK(tblRisk[[#This Row],[HIT Quintile]]),ISBLANK(tblRisk[[#This Row],[Control Maturity]])),"",_xlfn.XLOOKUP(tblRisk[[#This Row],[Control Maturity]] &amp; tblRisk[[#This Row],[HIT Quintile]],tblHITWDI[Lookup],tblHITWDI[Likelihood Description]))</f>
        <v>Common</v>
      </c>
      <c r="AB154" s="161">
        <f>IF(ISERROR(tblRisk[[#This Row],[Likelihood of Control Failure]]),"",VLOOKUP(tblRisk[[#This Row],[Likelihood of Control Failure]],tblLikelihood[],2,FALSE))</f>
        <v>4</v>
      </c>
      <c r="AC154" s="154">
        <v>3</v>
      </c>
      <c r="AD154" s="155">
        <v>3</v>
      </c>
      <c r="AE154" s="155">
        <v>3</v>
      </c>
      <c r="AF154" s="162">
        <f>IF(ISBLANK(tblRisk[[#This Row],[Impact to Mission]]),"",MAX(tblRisk[[#This Row],[Impact to Mission]:[Impact to Obligations]]))</f>
        <v>3</v>
      </c>
      <c r="AG154" s="163">
        <f>IF(ISERROR(tblRisk[[#This Row],[Impact Score]]*tblRisk[[#This Row],[Likelihood Score]]),"",tblRisk[[#This Row],[Likelihood Score]]*tblRisk[[#This Row],[Impact Score]])</f>
        <v>12</v>
      </c>
      <c r="AH154" s="163">
        <f>tblRisk[[#This Row],[Risk Score]]</f>
        <v>12</v>
      </c>
      <c r="AI154" s="164">
        <f t="shared" si="3"/>
        <v>9</v>
      </c>
      <c r="AJ154" s="164">
        <f>IF(tblRisk[[#This Row],[Safeguard Status]]="In Place",tblRisk[[#This Row],[Control Maturity after SG]],tblRisk[[#This Row],[Control Maturity]])</f>
        <v>4</v>
      </c>
      <c r="AK154" s="173" t="str">
        <f>IF(tblRisk[[#This Row],[Safeguard Status]]="In Place",tblRisk[[#This Row],[Safeguard Threat Cluster]],tblRisk[[#This Row],[Threat Cluster]])</f>
        <v>Physical Facility</v>
      </c>
      <c r="AL154" s="164">
        <f>IF(tblRisk[[#This Row],[Safeguard Status]]="In Place",tblRisk[[#This Row],[Risk Level With Safeguard in Place]],tblRisk[[#This Row],[Risk Level]])</f>
        <v>6</v>
      </c>
      <c r="AM154" s="165" t="s">
        <v>1564</v>
      </c>
      <c r="AN154" s="165" t="str">
        <f>IF(tblRisk[[#This Row],[Risk Treatment Option]]="Manage",_xlfn.IFNA(INDEX(tblRiskTreatmentPrograms[#Data],MATCH(tblRisk[[#This Row],[Common Security Program]]&amp;tblRisk[[#This Row],[Common Security Control]],tblRiskTreatmentPrograms[Lookup],0),MATCH($AN$3,tblRiskTreatmentPrograms[#Headers],0)),txtBadRTP),"")</f>
        <v>Implement Information Security Vulnerability Management</v>
      </c>
      <c r="AO154" s="165" t="str">
        <f>IF(tblRisk[[#This Row],[Risk Treatment Program]]="","",INDEX(tblRiskTreatmentPrograms[#Data],MATCH(tblRisk[[#This Row],[Risk Treatment Program]],tblRiskTreatmentPrograms[Risk Treatment Program],0),MATCH($AO$3,tblRiskTreatmentPrograms[#Headers],0)))</f>
        <v xml:space="preserve">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v>
      </c>
      <c r="AP154" s="165" t="s">
        <v>1903</v>
      </c>
      <c r="AQ154"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xml:space="preserve">Estimated Start - TBD
Estimated Completion - TBD
-----
</v>
      </c>
      <c r="AR154" s="19" t="str">
        <f>tblRisk[[#This Row],[Threat Cluster]]</f>
        <v>Physical Facility</v>
      </c>
      <c r="AS154" s="156">
        <f>IF(ISBLANK(tblRisk[[#This Row],[Safeguard Threat Cluster]]),"",_xlfn.XLOOKUP(tblRisk[[#This Row],[Safeguard Threat Cluster]],tblHIT[Threat Cluster],tblHIT[Quintile]))</f>
        <v>3</v>
      </c>
      <c r="AT154" s="157">
        <v>4</v>
      </c>
      <c r="AU154"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4" s="166">
        <f>IF(ISERROR(tblRisk[[#This Row],[Likelihood of Control Failure after SG]]),"",VLOOKUP(tblRisk[[#This Row],[Likelihood of Control Failure after SG]],tblLikelihood[#Data],2,FALSE))</f>
        <v>2</v>
      </c>
      <c r="AW154" s="159">
        <f>tblRisk[[#This Row],[Impact to Mission]]</f>
        <v>3</v>
      </c>
      <c r="AX154" s="159">
        <f>tblRisk[[#This Row],[Impact to Objectives]]</f>
        <v>3</v>
      </c>
      <c r="AY154" s="159">
        <f>tblRisk[[#This Row],[Impact to Obligations]]</f>
        <v>3</v>
      </c>
      <c r="AZ154" s="166">
        <f>IF(ISBLANK(tblRisk[[#This Row],[Impact to Mission With Safeguard in Place]]),"",MAX(tblRisk[[#This Row],[Impact to Mission With Safeguard in Place]:[Impact to Obligations With Safeguard in Place]]))</f>
        <v>3</v>
      </c>
      <c r="BA154" s="167">
        <f>IF(ISERROR(tblRisk[[#This Row],[Impact Score with Safeguard in Place]]*tblRisk[[#This Row],[Likelihood Score with Safeguard in Place]]),"",tblRisk[[#This Row],[Impact Score with Safeguard in Place]]*tblRisk[[#This Row],[Likelihood Score with Safeguard in Place]])</f>
        <v>6</v>
      </c>
      <c r="BB154" s="164">
        <f>tblRisk[[#This Row],[Risk Score With Safeguard in Place]]</f>
        <v>6</v>
      </c>
      <c r="BC154" s="168" t="s">
        <v>620</v>
      </c>
      <c r="BD154" s="169" t="str">
        <f>_xlfn.XLOOKUP(tblRisk[[#This Row],[Risk Treatment Program]],tblRiskTreatmentPrograms[Risk Treatment Program],tblRiskTreatmentPrograms[Estimated End Date (MM/DD/YYYY)],"")</f>
        <v>TBD</v>
      </c>
      <c r="BE154" s="170"/>
      <c r="BF154" s="171" t="str">
        <f>_xlfn.IFNA(IF(tblRisk[[#This Row],[Due Date]]&lt;=vWhatIfQuarter,"Closed",""),"")</f>
        <v/>
      </c>
      <c r="BG154" s="171">
        <f>IF(tblRisk[[#This Row],[Scenario Builder Status]]="Closed",tblRisk[[#This Row],[Risk Score With Safeguard in Place]],tblRisk[[#This Row],[Risk Score]])</f>
        <v>12</v>
      </c>
      <c r="BH154" s="192" t="str">
        <f>tblRisk[[#This Row],[Common Security Program]]&amp;tblRisk[[#This Row],[Common Security Control]]&amp;tblRisk[[#This Row],[Asset Designation ]]</f>
        <v>Vulnerability ManagementOperationNetwork</v>
      </c>
      <c r="BI154" s="191" t="s">
        <v>117</v>
      </c>
      <c r="BJ154" s="191"/>
      <c r="BK154" s="191"/>
      <c r="BL154" s="191"/>
      <c r="BM154" s="191"/>
      <c r="BN154" s="191"/>
      <c r="BO154" s="191"/>
      <c r="BP154" s="191"/>
      <c r="BQ154" s="191"/>
    </row>
    <row r="155" spans="1:69" ht="299.25" x14ac:dyDescent="0.65">
      <c r="A155" s="160">
        <v>152</v>
      </c>
      <c r="B155" s="160" t="s">
        <v>899</v>
      </c>
      <c r="C155" s="19" t="s">
        <v>1014</v>
      </c>
      <c r="D155" s="28" t="s">
        <v>1273</v>
      </c>
      <c r="E155" s="207" t="s">
        <v>1092</v>
      </c>
      <c r="F155" s="194"/>
      <c r="G155" s="194"/>
      <c r="H155" s="194" t="s">
        <v>117</v>
      </c>
      <c r="I155" s="194" t="s">
        <v>1080</v>
      </c>
      <c r="J155" s="194" t="s">
        <v>1080</v>
      </c>
      <c r="K155" s="194" t="s">
        <v>1080</v>
      </c>
      <c r="L155" s="194" t="s">
        <v>1080</v>
      </c>
      <c r="M155" s="194" t="s">
        <v>1080</v>
      </c>
      <c r="N155" s="194">
        <f>COUNTIF(tblRisk[[#This Row],[Defends Against Malware]:[Defends Against Targeted Intrusions]],"Yes")</f>
        <v>0</v>
      </c>
      <c r="O155" s="160" t="s">
        <v>22</v>
      </c>
      <c r="P155" s="160" t="s">
        <v>88</v>
      </c>
      <c r="Q155" s="160" t="s">
        <v>30</v>
      </c>
      <c r="R155" s="160" t="s">
        <v>1085</v>
      </c>
      <c r="S155" s="160" t="s">
        <v>1431</v>
      </c>
      <c r="T155" s="160" t="s">
        <v>1429</v>
      </c>
      <c r="U155" s="160" t="s">
        <v>1430</v>
      </c>
      <c r="V155" s="19" t="s">
        <v>1708</v>
      </c>
      <c r="W155" s="160" t="s">
        <v>1709</v>
      </c>
      <c r="X155" s="160" t="s">
        <v>1883</v>
      </c>
      <c r="Y155" s="151">
        <f>IF(ISBLANK(tblRisk[[#This Row],[Threat Cluster]]),"",_xlfn.XLOOKUP(tblRisk[[#This Row],[Threat Cluster]],tblHIT[Threat Cluster],tblHIT[Quintile]))</f>
        <v>2</v>
      </c>
      <c r="Z155" s="152">
        <v>4</v>
      </c>
      <c r="AA155" s="153" t="str">
        <f>IF(OR(ISBLANK(tblRisk[[#This Row],[HIT Quintile]]),ISBLANK(tblRisk[[#This Row],[Control Maturity]])),"",_xlfn.XLOOKUP(tblRisk[[#This Row],[Control Maturity]] &amp; tblRisk[[#This Row],[HIT Quintile]],tblHITWDI[Lookup],tblHITWDI[Likelihood Description]))</f>
        <v>Foreseeable, not expected</v>
      </c>
      <c r="AB155" s="161">
        <f>IF(ISERROR(tblRisk[[#This Row],[Likelihood of Control Failure]]),"",VLOOKUP(tblRisk[[#This Row],[Likelihood of Control Failure]],tblLikelihood[],2,FALSE))</f>
        <v>2</v>
      </c>
      <c r="AC155" s="154">
        <v>3</v>
      </c>
      <c r="AD155" s="155">
        <v>3</v>
      </c>
      <c r="AE155" s="155">
        <v>3</v>
      </c>
      <c r="AF155" s="162">
        <f>IF(ISBLANK(tblRisk[[#This Row],[Impact to Mission]]),"",MAX(tblRisk[[#This Row],[Impact to Mission]:[Impact to Obligations]]))</f>
        <v>3</v>
      </c>
      <c r="AG155" s="163">
        <f>IF(ISERROR(tblRisk[[#This Row],[Impact Score]]*tblRisk[[#This Row],[Likelihood Score]]),"",tblRisk[[#This Row],[Likelihood Score]]*tblRisk[[#This Row],[Impact Score]])</f>
        <v>6</v>
      </c>
      <c r="AH155" s="163">
        <f>tblRisk[[#This Row],[Risk Score]]</f>
        <v>6</v>
      </c>
      <c r="AI155" s="164">
        <f t="shared" si="3"/>
        <v>9</v>
      </c>
      <c r="AJ155" s="164">
        <f>IF(tblRisk[[#This Row],[Safeguard Status]]="In Place",tblRisk[[#This Row],[Control Maturity after SG]],tblRisk[[#This Row],[Control Maturity]])</f>
        <v>4</v>
      </c>
      <c r="AK155" s="173" t="str">
        <f>IF(tblRisk[[#This Row],[Safeguard Status]]="In Place",tblRisk[[#This Row],[Safeguard Threat Cluster]],tblRisk[[#This Row],[Threat Cluster]])</f>
        <v>Hacking System</v>
      </c>
      <c r="AL155" s="164">
        <f>IF(tblRisk[[#This Row],[Safeguard Status]]="In Place",tblRisk[[#This Row],[Risk Level With Safeguard in Place]],tblRisk[[#This Row],[Risk Level]])</f>
        <v>6</v>
      </c>
      <c r="AM155" s="165" t="s">
        <v>1887</v>
      </c>
      <c r="AN155" s="165" t="str">
        <f>IF(tblRisk[[#This Row],[Risk Treatment Option]]="Manage",_xlfn.IFNA(INDEX(tblRiskTreatmentPrograms[#Data],MATCH(tblRisk[[#This Row],[Common Security Program]]&amp;tblRisk[[#This Row],[Common Security Control]],tblRiskTreatmentPrograms[Lookup],0),MATCH($AN$3,tblRiskTreatmentPrograms[#Headers],0)),txtBadRTP),"")</f>
        <v/>
      </c>
      <c r="AO155" s="165" t="str">
        <f>IF(tblRisk[[#This Row],[Risk Treatment Program]]="","",INDEX(tblRiskTreatmentPrograms[#Data],MATCH(tblRisk[[#This Row],[Risk Treatment Program]],tblRiskTreatmentPrograms[Risk Treatment Program],0),MATCH($AO$3,tblRiskTreatmentPrograms[#Headers],0)))</f>
        <v/>
      </c>
      <c r="AP155" s="165"/>
      <c r="AQ155"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5" s="19" t="str">
        <f>tblRisk[[#This Row],[Threat Cluster]]</f>
        <v>Hacking System</v>
      </c>
      <c r="AS155" s="156">
        <f>IF(ISBLANK(tblRisk[[#This Row],[Safeguard Threat Cluster]]),"",_xlfn.XLOOKUP(tblRisk[[#This Row],[Safeguard Threat Cluster]],tblHIT[Threat Cluster],tblHIT[Quintile]))</f>
        <v>2</v>
      </c>
      <c r="AT155" s="157">
        <f>_xlfn.SWITCH(tblRisk[[#This Row],[Risk Treatment Option]],"Manage",tblRisk[[#This Row],[Control Maturity]]+1,tblRisk[[#This Row],[Control Maturity]])</f>
        <v>4</v>
      </c>
      <c r="AU155"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5" s="166">
        <f>IF(ISERROR(tblRisk[[#This Row],[Likelihood of Control Failure after SG]]),"",VLOOKUP(tblRisk[[#This Row],[Likelihood of Control Failure after SG]],tblLikelihood[#Data],2,FALSE))</f>
        <v>2</v>
      </c>
      <c r="AW155" s="159">
        <f>tblRisk[[#This Row],[Impact to Mission]]</f>
        <v>3</v>
      </c>
      <c r="AX155" s="159">
        <f>tblRisk[[#This Row],[Impact to Objectives]]</f>
        <v>3</v>
      </c>
      <c r="AY155" s="159">
        <f>tblRisk[[#This Row],[Impact to Obligations]]</f>
        <v>3</v>
      </c>
      <c r="AZ155" s="166">
        <f>IF(ISBLANK(tblRisk[[#This Row],[Impact to Mission With Safeguard in Place]]),"",MAX(tblRisk[[#This Row],[Impact to Mission With Safeguard in Place]:[Impact to Obligations With Safeguard in Place]]))</f>
        <v>3</v>
      </c>
      <c r="BA155" s="167">
        <f>IF(ISERROR(tblRisk[[#This Row],[Impact Score with Safeguard in Place]]*tblRisk[[#This Row],[Likelihood Score with Safeguard in Place]]),"",tblRisk[[#This Row],[Impact Score with Safeguard in Place]]*tblRisk[[#This Row],[Likelihood Score with Safeguard in Place]])</f>
        <v>6</v>
      </c>
      <c r="BB155" s="164">
        <f>tblRisk[[#This Row],[Risk Score With Safeguard in Place]]</f>
        <v>6</v>
      </c>
      <c r="BC155" s="168" t="str">
        <f>IF(tblRisk[[#This Row],[Risk Treatment Option]]&lt;&gt;"Accept",IF(_xlfn.XLOOKUP(tblRisk[[#This Row],[Specific Safeguard Recommendation]],ProTrak[Task],ProTrak[Status],"Not Found")="Completed","Pending Validation","Pending"),"")</f>
        <v/>
      </c>
      <c r="BD155" s="169" t="str">
        <f>_xlfn.XLOOKUP(tblRisk[[#This Row],[Risk Treatment Program]],tblRiskTreatmentPrograms[Risk Treatment Program],tblRiskTreatmentPrograms[Estimated End Date (MM/DD/YYYY)],"")</f>
        <v/>
      </c>
      <c r="BE155" s="170"/>
      <c r="BF155" s="171" t="str">
        <f>_xlfn.IFNA(IF(tblRisk[[#This Row],[Due Date]]&lt;=vWhatIfQuarter,"Closed",""),"")</f>
        <v/>
      </c>
      <c r="BG155" s="171">
        <f>IF(tblRisk[[#This Row],[Scenario Builder Status]]="Closed",tblRisk[[#This Row],[Risk Score With Safeguard in Place]],tblRisk[[#This Row],[Risk Score]])</f>
        <v>6</v>
      </c>
      <c r="BH155" s="192" t="str">
        <f>tblRisk[[#This Row],[Common Security Program]]&amp;tblRisk[[#This Row],[Common Security Control]]&amp;tblRisk[[#This Row],[Asset Designation ]]</f>
        <v>Vulnerability ManagementOperationNetwork</v>
      </c>
      <c r="BI155" s="191"/>
      <c r="BJ155" s="191"/>
      <c r="BK155" s="191"/>
      <c r="BL155" s="191"/>
      <c r="BM155" s="191"/>
      <c r="BN155" s="191"/>
      <c r="BO155" s="191"/>
      <c r="BP155" s="191"/>
      <c r="BQ155" s="191"/>
    </row>
    <row r="156" spans="1:69" ht="299.25" x14ac:dyDescent="0.65">
      <c r="A156" s="160">
        <v>153</v>
      </c>
      <c r="B156" s="160" t="s">
        <v>899</v>
      </c>
      <c r="C156" s="19" t="s">
        <v>1015</v>
      </c>
      <c r="D156" s="28" t="s">
        <v>1274</v>
      </c>
      <c r="E156" s="207" t="s">
        <v>1089</v>
      </c>
      <c r="F156" s="194"/>
      <c r="G156" s="194"/>
      <c r="H156" s="194" t="s">
        <v>117</v>
      </c>
      <c r="I156" s="194" t="s">
        <v>1081</v>
      </c>
      <c r="J156" s="194" t="s">
        <v>1081</v>
      </c>
      <c r="K156" s="194" t="s">
        <v>1081</v>
      </c>
      <c r="L156" s="194" t="s">
        <v>1081</v>
      </c>
      <c r="M156" s="194" t="s">
        <v>1081</v>
      </c>
      <c r="N156" s="194">
        <f>COUNTIF(tblRisk[[#This Row],[Defends Against Malware]:[Defends Against Targeted Intrusions]],"Yes")</f>
        <v>5</v>
      </c>
      <c r="O156" s="160" t="s">
        <v>22</v>
      </c>
      <c r="P156" s="160" t="s">
        <v>88</v>
      </c>
      <c r="Q156" s="160" t="s">
        <v>30</v>
      </c>
      <c r="R156" s="160" t="s">
        <v>1083</v>
      </c>
      <c r="S156" s="160" t="s">
        <v>1431</v>
      </c>
      <c r="T156" s="160" t="s">
        <v>1429</v>
      </c>
      <c r="U156" s="160" t="s">
        <v>1430</v>
      </c>
      <c r="V156" s="19" t="s">
        <v>1705</v>
      </c>
      <c r="W156" s="160" t="s">
        <v>1709</v>
      </c>
      <c r="X156" s="160" t="s">
        <v>1884</v>
      </c>
      <c r="Y156" s="151">
        <f>IF(ISBLANK(tblRisk[[#This Row],[Threat Cluster]]),"",_xlfn.XLOOKUP(tblRisk[[#This Row],[Threat Cluster]],tblHIT[Threat Cluster],tblHIT[Quintile]))</f>
        <v>2</v>
      </c>
      <c r="Z156" s="152">
        <v>4</v>
      </c>
      <c r="AA156" s="153" t="str">
        <f>IF(OR(ISBLANK(tblRisk[[#This Row],[HIT Quintile]]),ISBLANK(tblRisk[[#This Row],[Control Maturity]])),"",_xlfn.XLOOKUP(tblRisk[[#This Row],[Control Maturity]] &amp; tblRisk[[#This Row],[HIT Quintile]],tblHITWDI[Lookup],tblHITWDI[Likelihood Description]))</f>
        <v>Foreseeable, not expected</v>
      </c>
      <c r="AB156" s="161">
        <f>IF(ISERROR(tblRisk[[#This Row],[Likelihood of Control Failure]]),"",VLOOKUP(tblRisk[[#This Row],[Likelihood of Control Failure]],tblLikelihood[],2,FALSE))</f>
        <v>2</v>
      </c>
      <c r="AC156" s="154">
        <v>3</v>
      </c>
      <c r="AD156" s="155">
        <v>3</v>
      </c>
      <c r="AE156" s="155">
        <v>3</v>
      </c>
      <c r="AF156" s="162">
        <f>IF(ISBLANK(tblRisk[[#This Row],[Impact to Mission]]),"",MAX(tblRisk[[#This Row],[Impact to Mission]:[Impact to Obligations]]))</f>
        <v>3</v>
      </c>
      <c r="AG156" s="163">
        <f>IF(ISERROR(tblRisk[[#This Row],[Impact Score]]*tblRisk[[#This Row],[Likelihood Score]]),"",tblRisk[[#This Row],[Likelihood Score]]*tblRisk[[#This Row],[Impact Score]])</f>
        <v>6</v>
      </c>
      <c r="AH156" s="163">
        <f>tblRisk[[#This Row],[Risk Score]]</f>
        <v>6</v>
      </c>
      <c r="AI156" s="164">
        <f t="shared" si="3"/>
        <v>9</v>
      </c>
      <c r="AJ156" s="164">
        <f>IF(tblRisk[[#This Row],[Safeguard Status]]="In Place",tblRisk[[#This Row],[Control Maturity after SG]],tblRisk[[#This Row],[Control Maturity]])</f>
        <v>4</v>
      </c>
      <c r="AK156" s="173" t="str">
        <f>IF(tblRisk[[#This Row],[Safeguard Status]]="In Place",tblRisk[[#This Row],[Safeguard Threat Cluster]],tblRisk[[#This Row],[Threat Cluster]])</f>
        <v>Hacking System</v>
      </c>
      <c r="AL156" s="164">
        <f>IF(tblRisk[[#This Row],[Safeguard Status]]="In Place",tblRisk[[#This Row],[Risk Level With Safeguard in Place]],tblRisk[[#This Row],[Risk Level]])</f>
        <v>6</v>
      </c>
      <c r="AM156" s="165" t="s">
        <v>1887</v>
      </c>
      <c r="AN156" s="165" t="str">
        <f>IF(tblRisk[[#This Row],[Risk Treatment Option]]="Manage",_xlfn.IFNA(INDEX(tblRiskTreatmentPrograms[#Data],MATCH(tblRisk[[#This Row],[Common Security Program]]&amp;tblRisk[[#This Row],[Common Security Control]],tblRiskTreatmentPrograms[Lookup],0),MATCH($AN$3,tblRiskTreatmentPrograms[#Headers],0)),txtBadRTP),"")</f>
        <v/>
      </c>
      <c r="AO156" s="165" t="str">
        <f>IF(tblRisk[[#This Row],[Risk Treatment Program]]="","",INDEX(tblRiskTreatmentPrograms[#Data],MATCH(tblRisk[[#This Row],[Risk Treatment Program]],tblRiskTreatmentPrograms[Risk Treatment Program],0),MATCH($AO$3,tblRiskTreatmentPrograms[#Headers],0)))</f>
        <v/>
      </c>
      <c r="AP156" s="165"/>
      <c r="AQ156" s="77" t="str">
        <f>IF(tblRisk[[#This Row],[Risk Treatment Option]]&lt;&gt;"Manage","","Estimated Start - " &amp; TEXT(_xlfn.XLOOKUP(tblRisk[[#This Row],[Common Security Program]]&amp;tblRisk[[#This Row],[Common Security Control]],tblRiskTreatmentPrograms[Lookup],tblRiskTreatmentPrograms[Estimated Start Date (MM/DD/YYYY)]),"MM/DD/YYYY") &amp; CHAR(10) &amp; "Estimated Completion - " &amp; TEXT(_xlfn.XLOOKUP(tblRisk[[#This Row],[Common Security Program]]&amp;tblRisk[[#This Row],[Common Security Control]],tblRiskTreatmentPrograms[Lookup],tblRiskTreatmentPrograms[Estimated End Date (MM/DD/YYYY)]),"MM/DD/YYYY")  &amp; CHAR(10) &amp; txtDivider &amp; CHAR(10) &amp; _xlfn.XLOOKUP(tblRisk[[#This Row],[Common Security Program]]&amp;tblRisk[[#This Row],[Common Security Control]],tblRiskTreatmentPrograms[Lookup],tblRiskTreatmentPrograms[Risk Treatment Activity]))</f>
        <v/>
      </c>
      <c r="AR156" s="19" t="str">
        <f>tblRisk[[#This Row],[Threat Cluster]]</f>
        <v>Hacking System</v>
      </c>
      <c r="AS156" s="156">
        <f>IF(ISBLANK(tblRisk[[#This Row],[Safeguard Threat Cluster]]),"",_xlfn.XLOOKUP(tblRisk[[#This Row],[Safeguard Threat Cluster]],tblHIT[Threat Cluster],tblHIT[Quintile]))</f>
        <v>2</v>
      </c>
      <c r="AT156" s="157">
        <f>_xlfn.SWITCH(tblRisk[[#This Row],[Risk Treatment Option]],"Manage",tblRisk[[#This Row],[Control Maturity]]+1,tblRisk[[#This Row],[Control Maturity]])</f>
        <v>4</v>
      </c>
      <c r="AU156" s="158" t="str">
        <f>IF(OR(ISBLANK(tblRisk[[#This Row],[Safeguard HIT Quintile]]),ISBLANK(tblRisk[[#This Row],[Control Maturity after SG]])),"",_xlfn.XLOOKUP(tblRisk[[#This Row],[Control Maturity after SG]] &amp;tblRisk[[#This Row],[Safeguard HIT Quintile]],tblHITWDI[Lookup],tblHITWDI[Likelihood Description]))</f>
        <v>Foreseeable, not expected</v>
      </c>
      <c r="AV156" s="166">
        <f>IF(ISERROR(tblRisk[[#This Row],[Likelihood of Control Failure after SG]]),"",VLOOKUP(tblRisk[[#This Row],[Likelihood of Control Failure after SG]],tblLikelihood[#Data],2,FALSE))</f>
        <v>2</v>
      </c>
      <c r="AW156" s="159">
        <f>tblRisk[[#This Row],[Impact to Mission]]</f>
        <v>3</v>
      </c>
      <c r="AX156" s="159">
        <f>tblRisk[[#This Row],[Impact to Objectives]]</f>
        <v>3</v>
      </c>
      <c r="AY156" s="159">
        <f>tblRisk[[#This Row],[Impact to Obligations]]</f>
        <v>3</v>
      </c>
      <c r="AZ156" s="166">
        <f>IF(ISBLANK(tblRisk[[#This Row],[Impact to Mission With Safeguard in Place]]),"",MAX(tblRisk[[#This Row],[Impact to Mission With Safeguard in Place]:[Impact to Obligations With Safeguard in Place]]))</f>
        <v>3</v>
      </c>
      <c r="BA156" s="167">
        <f>IF(ISERROR(tblRisk[[#This Row],[Impact Score with Safeguard in Place]]*tblRisk[[#This Row],[Likelihood Score with Safeguard in Place]]),"",tblRisk[[#This Row],[Impact Score with Safeguard in Place]]*tblRisk[[#This Row],[Likelihood Score with Safeguard in Place]])</f>
        <v>6</v>
      </c>
      <c r="BB156" s="164">
        <f>tblRisk[[#This Row],[Risk Score With Safeguard in Place]]</f>
        <v>6</v>
      </c>
      <c r="BC156" s="168" t="str">
        <f>IF(tblRisk[[#This Row],[Risk Treatment Option]]&lt;&gt;"Accept",IF(_xlfn.XLOOKUP(tblRisk[[#This Row],[Specific Safeguard Recommendation]],ProTrak[Task],ProTrak[Status],"Not Found")="Completed","Pending Validation","Pending"),"")</f>
        <v/>
      </c>
      <c r="BD156" s="169" t="str">
        <f>_xlfn.XLOOKUP(tblRisk[[#This Row],[Risk Treatment Program]],tblRiskTreatmentPrograms[Risk Treatment Program],tblRiskTreatmentPrograms[Estimated End Date (MM/DD/YYYY)],"")</f>
        <v/>
      </c>
      <c r="BE156" s="170"/>
      <c r="BF156" s="171" t="str">
        <f>_xlfn.IFNA(IF(tblRisk[[#This Row],[Due Date]]&lt;=vWhatIfQuarter,"Closed",""),"")</f>
        <v/>
      </c>
      <c r="BG156" s="171">
        <f>IF(tblRisk[[#This Row],[Scenario Builder Status]]="Closed",tblRisk[[#This Row],[Risk Score With Safeguard in Place]],tblRisk[[#This Row],[Risk Score]])</f>
        <v>6</v>
      </c>
      <c r="BH156" s="192" t="str">
        <f>tblRisk[[#This Row],[Common Security Program]]&amp;tblRisk[[#This Row],[Common Security Control]]&amp;tblRisk[[#This Row],[Asset Designation ]]</f>
        <v>Vulnerability ManagementOperationApplications</v>
      </c>
      <c r="BI156" s="191" t="s">
        <v>117</v>
      </c>
      <c r="BJ156" s="191"/>
      <c r="BK156" s="191"/>
      <c r="BL156" s="191"/>
      <c r="BM156" s="191"/>
      <c r="BN156" s="191"/>
      <c r="BO156" s="191"/>
      <c r="BP156" s="191"/>
      <c r="BQ156" s="191"/>
    </row>
    <row r="157" spans="1:69" x14ac:dyDescent="0.65">
      <c r="A157" s="179" t="s">
        <v>1063</v>
      </c>
      <c r="B157" s="179"/>
      <c r="C157" s="179"/>
      <c r="D157" s="179"/>
      <c r="E157" s="179"/>
      <c r="F157" s="179"/>
      <c r="G157" s="179"/>
      <c r="H157" s="179"/>
      <c r="I157" s="179"/>
      <c r="J157" s="179"/>
      <c r="K157" s="179"/>
      <c r="L157" s="179"/>
      <c r="M157" s="179"/>
      <c r="N157" s="179"/>
      <c r="O157" s="179"/>
      <c r="P157" s="179"/>
      <c r="Q157" s="179"/>
      <c r="R157" s="179"/>
      <c r="S157"/>
      <c r="T157"/>
      <c r="U157"/>
      <c r="V157" s="179"/>
      <c r="W157" s="179"/>
      <c r="X157" s="179"/>
      <c r="Y157" s="180"/>
      <c r="Z157" s="181">
        <f>SUBTOTAL(101,tblRisk[Control Maturity])</f>
        <v>3.9019607843137254</v>
      </c>
      <c r="AA157" s="180"/>
      <c r="AB157" s="182">
        <f>SUBTOTAL(101,tblRisk[Likelihood Score])</f>
        <v>1.934640522875817</v>
      </c>
      <c r="AC157" s="182">
        <f>SUBTOTAL(101,tblRisk[Impact to Mission])</f>
        <v>2.3267973856209152</v>
      </c>
      <c r="AD157" s="182">
        <f>SUBTOTAL(101,tblRisk[Impact to Objectives])</f>
        <v>2.4640522875816995</v>
      </c>
      <c r="AE157" s="182">
        <f>SUBTOTAL(101,tblRisk[Impact to Obligations])</f>
        <v>2.8562091503267975</v>
      </c>
      <c r="AF157" s="182">
        <f>SUBTOTAL(101,tblRisk[Impact Score])</f>
        <v>2.8562091503267975</v>
      </c>
      <c r="AG157" s="182">
        <f>SUBTOTAL(101,tblRisk[Risk Score])</f>
        <v>5.5620915032679736</v>
      </c>
      <c r="AH157" s="183">
        <f>SUBTOTAL(104,tblRisk[Risk Level])</f>
        <v>16</v>
      </c>
      <c r="AI157" s="182"/>
      <c r="AJ157" s="182">
        <f>SUBTOTAL(101,tblRisk[Current Maturity])</f>
        <v>3.9673202614379086</v>
      </c>
      <c r="AK157" s="182"/>
      <c r="AL157" s="182">
        <f>SUBTOTAL(101,tblRisk[Current Level of Risk])</f>
        <v>5.3594771241830061</v>
      </c>
      <c r="AM157" s="179"/>
      <c r="AN157" s="181"/>
      <c r="AO157" s="181"/>
      <c r="AP157" s="181"/>
      <c r="AQ157"/>
      <c r="AR157" s="181"/>
      <c r="AS157" s="181"/>
      <c r="AT157" s="181">
        <f>SUBTOTAL(101,tblRisk[Control Maturity after SG])</f>
        <v>4.0980392156862742</v>
      </c>
      <c r="AU157" s="181"/>
      <c r="AV157" s="181">
        <f>SUBTOTAL(101,tblRisk[Likelihood Score with Safeguard in Place])</f>
        <v>1.7450980392156863</v>
      </c>
      <c r="AW157" s="181">
        <f>SUBTOTAL(101,tblRisk[Impact to Mission With Safeguard in Place])</f>
        <v>2.3267973856209152</v>
      </c>
      <c r="AX157" s="181">
        <f>SUBTOTAL(101,tblRisk[Impact to Objectives With Safeguard in Place])</f>
        <v>2.4640522875816995</v>
      </c>
      <c r="AY157" s="181">
        <f>SUBTOTAL(101,tblRisk[Impact to Obligations With Safeguard in Place])</f>
        <v>2.8562091503267975</v>
      </c>
      <c r="AZ157" s="181">
        <f>SUBTOTAL(101,tblRisk[Impact Score with Safeguard in Place])</f>
        <v>2.8562091503267975</v>
      </c>
      <c r="BA157" s="184">
        <f>SUBTOTAL(101,tblRisk[Risk Score With Safeguard in Place])</f>
        <v>4.9346405228758172</v>
      </c>
      <c r="BB157" s="181">
        <f>SUBTOTAL(104,tblRisk[Risk Level With Safeguard in Place])</f>
        <v>8</v>
      </c>
      <c r="BC157" s="181"/>
      <c r="BD157" s="181"/>
      <c r="BE157" s="180">
        <f>SUBTOTAL(103,tblRisk[Comments])</f>
        <v>0</v>
      </c>
      <c r="BF157" s="181" t="e">
        <f>SUBTOTAL(101,tblRisk[Scenario Builder Status])</f>
        <v>#DIV/0!</v>
      </c>
      <c r="BG157" s="181">
        <f>SUBTOTAL(101,tblRisk[Scenario Builder Current Risk])</f>
        <v>5.5620915032679736</v>
      </c>
      <c r="BH157" s="181"/>
      <c r="BI157" s="181"/>
      <c r="BJ157" s="181"/>
      <c r="BK157" s="181"/>
      <c r="BL157" s="181"/>
      <c r="BM157" s="181"/>
      <c r="BN157" s="181"/>
      <c r="BO157" s="181"/>
      <c r="BP157" s="181"/>
      <c r="BQ157" s="181"/>
    </row>
  </sheetData>
  <scenarios current="0">
    <scenario name="Q1.2023" locked="1" count="1" user="Author" comment="Created by Author on 7/9/2022">
      <inputCells r="BF3" val="44927"/>
    </scenario>
    <scenario name="Q2.2023" locked="1" count="1" user="Author" comment="Created by Author on 7/9/2022">
      <inputCells r="BF3" val="45017"/>
    </scenario>
  </scenarios>
  <phoneticPr fontId="1" type="noConversion"/>
  <conditionalFormatting sqref="E4:E156">
    <cfRule type="containsText" dxfId="50" priority="6" operator="containsText" text="Protect">
      <formula>NOT(ISERROR(SEARCH("Protect",E4)))</formula>
    </cfRule>
    <cfRule type="containsText" dxfId="49" priority="7" operator="containsText" text="Respond">
      <formula>NOT(ISERROR(SEARCH("Respond",E4)))</formula>
    </cfRule>
    <cfRule type="containsText" dxfId="48" priority="8" operator="containsText" text="Detect">
      <formula>NOT(ISERROR(SEARCH("Detect",E4)))</formula>
    </cfRule>
    <cfRule type="containsText" dxfId="47" priority="9" operator="containsText" text="Identify">
      <formula>NOT(ISERROR(SEARCH("Identify",E4)))</formula>
    </cfRule>
    <cfRule type="containsText" dxfId="46" priority="10" operator="containsText" text="Identity">
      <formula>NOT(ISERROR(SEARCH("Identity",E4)))</formula>
    </cfRule>
  </conditionalFormatting>
  <conditionalFormatting sqref="E154:E155">
    <cfRule type="containsText" dxfId="45" priority="1" operator="containsText" text="Protect">
      <formula>NOT(ISERROR(SEARCH("Protect",E154)))</formula>
    </cfRule>
    <cfRule type="containsText" dxfId="44" priority="2" operator="containsText" text="Respond">
      <formula>NOT(ISERROR(SEARCH("Respond",E154)))</formula>
    </cfRule>
    <cfRule type="containsText" dxfId="43" priority="3" operator="containsText" text="Detect">
      <formula>NOT(ISERROR(SEARCH("Detect",E154)))</formula>
    </cfRule>
    <cfRule type="containsText" dxfId="42" priority="4" operator="containsText" text="Identify">
      <formula>NOT(ISERROR(SEARCH("Identify",E154)))</formula>
    </cfRule>
    <cfRule type="containsText" dxfId="41" priority="5" operator="containsText" text="Identity">
      <formula>NOT(ISERROR(SEARCH("Identity",E154)))</formula>
    </cfRule>
  </conditionalFormatting>
  <conditionalFormatting sqref="Q3:Q157 AR4:AR157">
    <cfRule type="cellIs" dxfId="40" priority="26" operator="equal">
      <formula>"[Multiple - Apply per client]"</formula>
    </cfRule>
  </conditionalFormatting>
  <conditionalFormatting sqref="Y4:AA157 AU4:AU157">
    <cfRule type="cellIs" dxfId="39" priority="307" operator="equal">
      <formula>"High"</formula>
    </cfRule>
    <cfRule type="cellIs" dxfId="38" priority="308" operator="equal">
      <formula>"Medium"</formula>
    </cfRule>
    <cfRule type="cellIs" dxfId="37" priority="309" operator="equal">
      <formula>"Low"</formula>
    </cfRule>
  </conditionalFormatting>
  <conditionalFormatting sqref="AS4:AT156 AW4:AY156">
    <cfRule type="cellIs" dxfId="36" priority="41" operator="equal">
      <formula>"High"</formula>
    </cfRule>
    <cfRule type="cellIs" dxfId="35" priority="42" operator="equal">
      <formula>"Medium"</formula>
    </cfRule>
    <cfRule type="cellIs" dxfId="34" priority="43" operator="equal">
      <formula>"Low"</formula>
    </cfRule>
    <cfRule type="expression" dxfId="33" priority="47">
      <formula>IF(AS4&lt;&gt;Y4,TRUE,FALSE)</formula>
    </cfRule>
  </conditionalFormatting>
  <dataValidations count="9">
    <dataValidation type="list" allowBlank="1" showInputMessage="1" showErrorMessage="1" sqref="S3" xr:uid="{34345417-54DD-42FC-9722-18B2035C1F90}">
      <formula1>lstStandards</formula1>
    </dataValidation>
    <dataValidation type="list" allowBlank="1" showInputMessage="1" showErrorMessage="1" sqref="O4:O156" xr:uid="{00000000-0002-0000-0400-000005000000}">
      <formula1>lstCSP</formula1>
    </dataValidation>
    <dataValidation type="list" allowBlank="1" showInputMessage="1" showErrorMessage="1" sqref="Z4:Z156 AT4:AT156" xr:uid="{00000000-0002-0000-0400-000001000000}">
      <formula1>lstMaturityVals</formula1>
    </dataValidation>
    <dataValidation type="list" allowBlank="1" showInputMessage="1" showErrorMessage="1" sqref="AM4:AM156" xr:uid="{00000000-0002-0000-0400-000003000000}">
      <formula1>"Accept, Manage, Transfer, Avoid"</formula1>
    </dataValidation>
    <dataValidation type="list" allowBlank="1" showInputMessage="1" showErrorMessage="1" sqref="AC4:AE156" xr:uid="{00000000-0002-0000-0400-000004000000}">
      <formula1>"1,2,3,4,5"</formula1>
    </dataValidation>
    <dataValidation type="list" allowBlank="1" showInputMessage="1" showErrorMessage="1" sqref="BC4:BC156" xr:uid="{273EF472-3DF6-46FE-839F-FF572F9005E2}">
      <formula1>lstSafeguardStatus</formula1>
    </dataValidation>
    <dataValidation type="list" allowBlank="1" showInputMessage="1" showErrorMessage="1" sqref="AA4:AA156" xr:uid="{00000000-0002-0000-0400-000007000000}">
      <formula1>lstLikelihood</formula1>
    </dataValidation>
    <dataValidation type="list" allowBlank="1" showInputMessage="1" showErrorMessage="1" sqref="Q4:Q156 AR4:AR156" xr:uid="{00000000-0002-0000-0400-000008000000}">
      <formula1>lstTC</formula1>
    </dataValidation>
    <dataValidation type="list" allowBlank="1" showInputMessage="1" showErrorMessage="1" sqref="AW4:AY156" xr:uid="{74CEDD63-15FF-4FA6-A70C-B8E5114A4A73}">
      <formula1>lstImpactVals</formula1>
    </dataValidation>
  </dataValidations>
  <pageMargins left="0.25" right="0.25" top="0.5" bottom="0.5" header="0.3" footer="0.3"/>
  <pageSetup paperSize="17" scale="10" fitToHeight="0" orientation="landscape" cellComments="asDisplayed" r:id="rId1"/>
  <headerFooter>
    <oddFooter>&amp;LConfidential&amp;CPage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5303" id="{5D0876D1-802B-4501-9579-CA93462B276E}">
            <x14:iconSet showValue="0" custom="1">
              <x14:cfvo type="percent">
                <xm:f>0</xm:f>
              </x14:cfvo>
              <x14:cfvo type="num">
                <xm:f>valALR</xm:f>
              </x14:cfvo>
              <x14:cfvo type="num">
                <xm:f>valCLR</xm:f>
              </x14:cfvo>
              <x14:cfIcon iconSet="3TrafficLights1" iconId="2"/>
              <x14:cfIcon iconSet="3TrafficLights1" iconId="1"/>
              <x14:cfIcon iconSet="3TrafficLights1" iconId="0"/>
            </x14:iconSet>
          </x14:cfRule>
          <xm:sqref>AH4:AH156 AL4:AL156</xm:sqref>
        </x14:conditionalFormatting>
        <x14:conditionalFormatting xmlns:xm="http://schemas.microsoft.com/office/excel/2006/main">
          <x14:cfRule type="iconSet" priority="5307" id="{EE3B9D28-B368-4608-A28A-BA9F726B90AD}">
            <x14:iconSet showValue="0" custom="1">
              <x14:cfvo type="percent">
                <xm:f>0</xm:f>
              </x14:cfvo>
              <x14:cfvo type="num">
                <xm:f>valALR</xm:f>
              </x14:cfvo>
              <x14:cfvo type="num">
                <xm:f>valCLR</xm:f>
              </x14:cfvo>
              <x14:cfIcon iconSet="3TrafficLights1" iconId="2"/>
              <x14:cfIcon iconSet="3TrafficLights1" iconId="1"/>
              <x14:cfIcon iconSet="3TrafficLights1" iconId="0"/>
            </x14:iconSet>
          </x14:cfRule>
          <xm:sqref>BB4:BB156</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C6F87-60A8-4411-B23B-D8803F5D2882}">
  <sheetPr>
    <tabColor theme="4" tint="0.39997558519241921"/>
  </sheetPr>
  <dimension ref="A2:AC26"/>
  <sheetViews>
    <sheetView zoomScale="76" zoomScaleNormal="145" zoomScaleSheetLayoutView="50" workbookViewId="0">
      <pane xSplit="2" ySplit="2" topLeftCell="C3" activePane="bottomRight" state="frozen"/>
      <selection activeCell="H20" sqref="H20"/>
      <selection pane="topRight" activeCell="H20" sqref="H20"/>
      <selection pane="bottomLeft" activeCell="H20" sqref="H20"/>
      <selection pane="bottomRight" activeCell="D23" sqref="D23"/>
    </sheetView>
  </sheetViews>
  <sheetFormatPr defaultRowHeight="14.25" outlineLevelCol="1" x14ac:dyDescent="0.45"/>
  <cols>
    <col min="1" max="1" width="9.3984375" customWidth="1" outlineLevel="1"/>
    <col min="2" max="2" width="25.1328125" customWidth="1" outlineLevel="1"/>
    <col min="3" max="3" width="26.1328125" customWidth="1"/>
    <col min="4" max="4" width="18.265625" customWidth="1"/>
    <col min="5" max="5" width="106.1328125" style="198" customWidth="1"/>
    <col min="6" max="6" width="57.86328125" customWidth="1"/>
    <col min="7" max="20" width="8.73046875" customWidth="1"/>
    <col min="21" max="22" width="10.73046875" customWidth="1"/>
    <col min="23" max="23" width="26.265625" customWidth="1" outlineLevel="1"/>
    <col min="24" max="24" width="25.1328125" customWidth="1"/>
    <col min="25" max="25" width="34.1328125" customWidth="1"/>
    <col min="26" max="26" width="32.3984375" customWidth="1"/>
    <col min="27" max="27" width="31.265625" customWidth="1"/>
    <col min="28" max="28" width="37" customWidth="1"/>
    <col min="29" max="30" width="15.1328125" customWidth="1"/>
    <col min="31" max="31" width="54.1328125" customWidth="1"/>
    <col min="32" max="32" width="25" customWidth="1"/>
    <col min="34" max="35" width="25" customWidth="1"/>
  </cols>
  <sheetData>
    <row r="2" spans="1:29" ht="28.5" x14ac:dyDescent="0.45">
      <c r="A2" s="221" t="s">
        <v>1458</v>
      </c>
      <c r="B2" s="221" t="s">
        <v>38</v>
      </c>
      <c r="C2" s="222" t="s">
        <v>1459</v>
      </c>
      <c r="D2" s="222" t="s">
        <v>1460</v>
      </c>
      <c r="E2" s="223" t="s">
        <v>1307</v>
      </c>
      <c r="F2" s="221" t="s">
        <v>790</v>
      </c>
      <c r="G2" s="224" t="s">
        <v>157</v>
      </c>
      <c r="H2" s="224" t="s">
        <v>158</v>
      </c>
      <c r="I2" s="224" t="s">
        <v>159</v>
      </c>
      <c r="J2" s="224" t="s">
        <v>639</v>
      </c>
      <c r="K2" s="224" t="s">
        <v>640</v>
      </c>
      <c r="L2" s="224" t="s">
        <v>641</v>
      </c>
      <c r="M2" s="224" t="s">
        <v>642</v>
      </c>
      <c r="N2" s="224" t="s">
        <v>643</v>
      </c>
      <c r="O2" s="224" t="s">
        <v>644</v>
      </c>
      <c r="P2" s="224" t="s">
        <v>645</v>
      </c>
      <c r="Q2" s="224" t="s">
        <v>646</v>
      </c>
      <c r="R2" s="224" t="s">
        <v>1461</v>
      </c>
      <c r="S2" s="224" t="s">
        <v>1462</v>
      </c>
      <c r="T2" s="225" t="s">
        <v>1463</v>
      </c>
      <c r="U2" s="226" t="s">
        <v>1464</v>
      </c>
      <c r="V2" s="226" t="s">
        <v>1465</v>
      </c>
      <c r="W2" s="227" t="s">
        <v>1385</v>
      </c>
      <c r="X2" s="227" t="s">
        <v>1466</v>
      </c>
      <c r="Y2" s="228" t="s">
        <v>1467</v>
      </c>
      <c r="Z2" s="228" t="s">
        <v>566</v>
      </c>
      <c r="AA2" s="229" t="s">
        <v>1468</v>
      </c>
      <c r="AB2" s="229" t="s">
        <v>1469</v>
      </c>
      <c r="AC2" s="230" t="s">
        <v>832</v>
      </c>
    </row>
    <row r="3" spans="1:29" ht="20.100000000000001" customHeight="1" x14ac:dyDescent="0.45">
      <c r="A3" s="33">
        <v>9</v>
      </c>
      <c r="B3" s="33" t="s">
        <v>16</v>
      </c>
      <c r="C3" s="77" t="s">
        <v>1478</v>
      </c>
      <c r="D3" s="77" t="str" cm="1">
        <f t="array" ref="D3">SUBSTITUTE(_xlfn.TEXTJOIN(CHAR(10),TRUE,IF(('Risk Register'!O:O=tblRiskTreatmentPrograms25[[#This Row],[Common Security Program]])*('Risk Register'!AM:AM="Manage"),'Risk Register'!AP:AP,"")),"" &amp; CHAR(10) &amp; "","" &amp; CHAR(10) &amp; "* ")</f>
        <v>Create and maintain a detailed inventory of third-party software components, including risk assessments and monthly evaluations to ensure all components are current and secure.
* Implement an annual training program for developers focused on secure coding practices and application security concepts, reinforcing these principles through regular updates and refreshers.
* Deploy static and dynamic analysis tools within the application lifecycle to ensure secure coding practices are followed and vulnerabilities are identified early.
* Integrate threat modeling into the application development process by training personnel and utilizing structured methods to identify and address security design flaws before coding begins.</v>
      </c>
      <c r="E3" s="231" t="str">
        <f>_xlfn.TEXTJOIN(CHAR(10),TRUE,tblRiskTreatmentPrograms25[[#This Row],[Risk Treatment Program (Delete)]],$D$2,"* "&amp;tblRiskTreatmentPrograms25[[#This Row],[In addition, HALOCK recommends the following safeguards:]])</f>
        <v>Establish Organizational Information Security Secure Application Development
Ensure that policies, standards, etc. establish the foundation for Secure Application Development:
 * define Secure Application Development requirements including architecture, development integration, compliance obligations, outsourcing, data protection, etc.;
 * establish Secure Application Development procedures in support of the System Development Lifecycle (SDLC), including initiation, design, development, testing, production migration, and support;
 * require periodic training for Application Development and Support resources to address evolving secure coding techniques;
 * define reporting and performance measurement;
 * review, update, and approval of Secure Application Development documentation; and
 * communication of Secure Application Development policies and processes.
Implement Information Security Secure Application Development
Establish, manage and validate operational activities for Secure Application Development including:
 * training Application Development and Support resources;
 * incorporating Secure Development concepts, techniques, and compliance obligations in development and support initiatives;
 * enforcing Secure Application Development requirements when outsourcing application development and support;
 * include Secure Application Development procedures in the System Development Lifecycle (SDLC), during initiation, design, development, testing, production migration, and support;
 * reporting of Secure Application Development performance metrics.
In addition, HALOCK recommends the following safeguards:
* Create and maintain a detailed inventory of third-party software components, including risk assessments and monthly evaluations to ensure all components are current and secure.
* Implement an annual training program for developers focused on secure coding practices and application security concepts, reinforcing these principles through regular updates and refreshers.
* Deploy static and dynamic analysis tools within the application lifecycle to ensure secure coding practices are followed and vulnerabilities are identified early.
* Integrate threat modeling into the application development process by training personnel and utilizing structured methods to identify and address security design flaws before coding begins.</v>
      </c>
      <c r="F3" s="33" t="str" cm="1">
        <f t="array" ref="F3">_xlfn.TEXTJOIN(CHAR(10),TRUE,IF((ProTrak[Common Security Program]=tblRiskTreatmentPrograms25[[#This Row],[Common Security Program]])*(ProTrak[Status]="Completed"),ProTrak[Task],""))</f>
        <v>Create and maintain a detailed inventory of third-party software components, including risk assessments and monthly evaluations to ensure all components are current and secure.</v>
      </c>
      <c r="G3" s="232">
        <f>COUNTIFS('Risk Register'!O:O,tblRiskTreatmentPrograms25[[#This Row],[Common Security Program]],'Risk Register'!AM:AM,"Manage")</f>
        <v>4</v>
      </c>
      <c r="H3" s="232">
        <f>_xlfn.MAXIFS('Risk Register'!AG:AG,'Risk Register'!O:O,tblRiskTreatmentPrograms25[[#This Row],[Common Security Program]])</f>
        <v>16</v>
      </c>
      <c r="I3" s="232">
        <f>AVERAGEIFS('Risk Register'!AG:AG,'Risk Register'!O:O,tblRiskTreatmentPrograms25[[#This Row],[Common Security Program]])</f>
        <v>8.8888888888888893</v>
      </c>
      <c r="J3" s="232">
        <f>SUMIFS('Risk Register'!AG:AG,'Risk Register'!O:O,tblRiskTreatmentPrograms25[[#This Row],[Common Security Program]])</f>
        <v>80</v>
      </c>
      <c r="K3" s="232">
        <f>SUMIFS('Risk Register'!AL:AL,'Risk Register'!O:O,tblRiskTreatmentPrograms25[[#This Row],[Common Security Program]])</f>
        <v>76</v>
      </c>
      <c r="L3" s="232">
        <f>_xlfn.MAXIFS('Risk Register'!BA:BA,'Risk Register'!O:O,tblRiskTreatmentPrograms25[[#This Row],[Common Security Program]])</f>
        <v>8</v>
      </c>
      <c r="M3" s="232">
        <f>AVERAGEIFS('Risk Register'!BA:BA,'Risk Register'!O:O,tblRiskTreatmentPrograms25[[#This Row],[Common Security Program]])</f>
        <v>5.333333333333333</v>
      </c>
      <c r="N3" s="232">
        <f>SUMIFS('Risk Register'!BA:BA,'Risk Register'!O:O,tblRiskTreatmentPrograms25[[#This Row],[Common Security Program]])</f>
        <v>48</v>
      </c>
      <c r="O3" s="232">
        <f>tblRiskTreatmentPrograms25[[#This Row],[Max]]-tblRiskTreatmentPrograms25[[#This Row],[Tgt Max]]</f>
        <v>8</v>
      </c>
      <c r="P3" s="232">
        <f>tblRiskTreatmentPrograms25[[#This Row],[Avg]]-tblRiskTreatmentPrograms25[[#This Row],[Tgt Avg]]</f>
        <v>3.5555555555555562</v>
      </c>
      <c r="Q3" s="232">
        <f>tblRiskTreatmentPrograms25[[#This Row],[Sum]]-tblRiskTreatmentPrograms25[[#This Row],[Tgt Sum]]</f>
        <v>32</v>
      </c>
      <c r="R3" s="232">
        <f>tblRiskTreatmentPrograms25[[#This Row],[Sum]]-tblRiskTreatmentPrograms25[[#This Row],[Sum Cur]]</f>
        <v>4</v>
      </c>
      <c r="S3" s="232">
        <f>tblRiskTreatmentPrograms25[[#This Row],[Sum Cur]]-tblRiskTreatmentPrograms25[[#This Row],[Tgt Sum]]</f>
        <v>28</v>
      </c>
      <c r="T3" s="233">
        <f>IF(tblRiskTreatmentPrograms25[[#This Row],[Count]]=0,"",tblRiskTreatmentPrograms25[[#This Row],[Risk Red]]/tblRiskTreatmentPrograms25[[#This Row],[Dif Sum]])</f>
        <v>0.125</v>
      </c>
      <c r="U3" s="33"/>
      <c r="V3" s="33"/>
      <c r="W3" s="33"/>
      <c r="X3" s="33"/>
      <c r="Y3" s="33"/>
      <c r="Z3" s="33"/>
      <c r="AA3" s="33"/>
      <c r="AB3" s="33"/>
      <c r="AC3" s="33"/>
    </row>
    <row r="4" spans="1:29" ht="20.100000000000001" customHeight="1" x14ac:dyDescent="0.45">
      <c r="A4" s="33">
        <v>15</v>
      </c>
      <c r="B4" s="33" t="s">
        <v>22</v>
      </c>
      <c r="C4" s="77" t="s">
        <v>1484</v>
      </c>
      <c r="D4" s="77" t="str" cm="1">
        <f t="array" ref="D4">SUBSTITUTE(_xlfn.TEXTJOIN(CHAR(10),TRUE,IF(('Risk Register'!O:O=tblRiskTreatmentPrograms25[[#This Row],[Common Security Program]])*('Risk Register'!AM:AM="Manage"),'Risk Register'!AP:AP,"")),"" &amp; CHAR(10) &amp; "","" &amp; CHAR(10) &amp; "* ")</f>
        <v>Implement automated patch management for third-party applications using SCCM or an alternative tool to ensure timely updates and reduce vulnerabilities.
* Integrate application code vulnerability scans into the SDLC using static and dynamic analysis tools to identify and remediate code-level vulnerabilities.
* Allocate sufficient resources for the remediation of detected vulnerabilities, ensuring timely and effective resolution to minimize security risks.
* Complete the implementation of vulnerability scanning within the SDLC using GitHub Advanced Security and Microsoft Defender for IaaC, ensuring all code and infrastructure vulnerabilities are identified and addressed.
* Allocate sufficient resources for the remediation of penetration test findings, ensuring timely and effective resolution of identified vulnerabilities to mitigate security risks.</v>
      </c>
      <c r="E4" s="231" t="str">
        <f>_xlfn.TEXTJOIN(CHAR(10),TRUE,tblRiskTreatmentPrograms25[[#This Row],[Risk Treatment Program (Delete)]],$D$2,"* "&amp;tblRiskTreatmentPrograms25[[#This Row],[In addition, HALOCK recommends the following safeguards:]])</f>
        <v>Establish Organizational Information Security Vulnerability Management
Ensure that policies, standards, etc. establish the foundation for Information Security Vulnerability Management:
 * establish the Vulnerability Management requirements including, methodology and approach, risk assessment criteria, documentation requirements, remediation planning and management, management review;
 * define reporting and performance measurement;
 * review, update, and approval of Vulnerability Management documentation; and
 * communication of Vulnerability Management policies and processes.
Implement Information Security Vulnerability Management
Establish, manage and validate operational activities for Information Security Vulnerability Management including:
 * execution, review and improvement of Vulnerability Management activities including patch management, vulnerability assessment, penetration testing, risk assessment, remediation, and management review; and
 * reporting of Risk Assessment performance metrics.
In addition, HALOCK recommends the following safeguards:
* Implement automated patch management for third-party applications using SCCM or an alternative tool to ensure timely updates and reduce vulnerabilities.
* Integrate application code vulnerability scans into the SDLC using static and dynamic analysis tools to identify and remediate code-level vulnerabilities.
* Allocate sufficient resources for the remediation of detected vulnerabilities, ensuring timely and effective resolution to minimize security risks.
* Complete the implementation of vulnerability scanning within the SDLC using GitHub Advanced Security and Microsoft Defender for IaaC, ensuring all code and infrastructure vulnerabilities are identified and addressed.
* Allocate sufficient resources for the remediation of penetration test findings, ensuring timely and effective resolution of identified vulnerabilities to mitigate security risks.</v>
      </c>
      <c r="F4" s="33" t="str" cm="1">
        <f t="array" ref="F4">_xlfn.TEXTJOIN(CHAR(10),TRUE,IF((ProTrak[Common Security Program]=tblRiskTreatmentPrograms25[[#This Row],[Common Security Program]])*(ProTrak[Status]="Completed"),ProTrak[Task],""))</f>
        <v>Implement automated patch management for third-party applications using SCCM or an alternative tool to ensure timely updates and reduce vulnerabilities.
Allocate sufficient resources for the remediation of detected vulnerabilities, ensuring timely and effective resolution to minimize security risks.
Allocate sufficient resources for the remediation of penetration test findings, ensuring timely and effective resolution of identified vulnerabilities to mitigate security risks.</v>
      </c>
      <c r="G4" s="232">
        <f>COUNTIFS('Risk Register'!O:O,tblRiskTreatmentPrograms25[[#This Row],[Common Security Program]],'Risk Register'!AM:AM,"Manage")</f>
        <v>5</v>
      </c>
      <c r="H4" s="232">
        <f>_xlfn.MAXIFS('Risk Register'!AG:AG,'Risk Register'!O:O,tblRiskTreatmentPrograms25[[#This Row],[Common Security Program]])</f>
        <v>12</v>
      </c>
      <c r="I4" s="232">
        <f>AVERAGEIFS('Risk Register'!AG:AG,'Risk Register'!O:O,tblRiskTreatmentPrograms25[[#This Row],[Common Security Program]])</f>
        <v>5.7241379310344831</v>
      </c>
      <c r="J4" s="232">
        <f>SUMIFS('Risk Register'!AG:AG,'Risk Register'!O:O,tblRiskTreatmentPrograms25[[#This Row],[Common Security Program]])</f>
        <v>166</v>
      </c>
      <c r="K4" s="232">
        <f>SUMIFS('Risk Register'!AL:AL,'Risk Register'!O:O,tblRiskTreatmentPrograms25[[#This Row],[Common Security Program]])</f>
        <v>148</v>
      </c>
      <c r="L4" s="232">
        <f>_xlfn.MAXIFS('Risk Register'!BA:BA,'Risk Register'!O:O,tblRiskTreatmentPrograms25[[#This Row],[Common Security Program]])</f>
        <v>8</v>
      </c>
      <c r="M4" s="232">
        <f>AVERAGEIFS('Risk Register'!BA:BA,'Risk Register'!O:O,tblRiskTreatmentPrograms25[[#This Row],[Common Security Program]])</f>
        <v>4.7586206896551726</v>
      </c>
      <c r="N4" s="232">
        <f>SUMIFS('Risk Register'!BA:BA,'Risk Register'!O:O,tblRiskTreatmentPrograms25[[#This Row],[Common Security Program]])</f>
        <v>138</v>
      </c>
      <c r="O4" s="232">
        <f>tblRiskTreatmentPrograms25[[#This Row],[Max]]-tblRiskTreatmentPrograms25[[#This Row],[Tgt Max]]</f>
        <v>4</v>
      </c>
      <c r="P4" s="232">
        <f>tblRiskTreatmentPrograms25[[#This Row],[Avg]]-tblRiskTreatmentPrograms25[[#This Row],[Tgt Avg]]</f>
        <v>0.9655172413793105</v>
      </c>
      <c r="Q4" s="232">
        <f>tblRiskTreatmentPrograms25[[#This Row],[Sum]]-tblRiskTreatmentPrograms25[[#This Row],[Tgt Sum]]</f>
        <v>28</v>
      </c>
      <c r="R4" s="232">
        <f>tblRiskTreatmentPrograms25[[#This Row],[Sum]]-tblRiskTreatmentPrograms25[[#This Row],[Sum Cur]]</f>
        <v>18</v>
      </c>
      <c r="S4" s="232">
        <f>tblRiskTreatmentPrograms25[[#This Row],[Sum Cur]]-tblRiskTreatmentPrograms25[[#This Row],[Tgt Sum]]</f>
        <v>10</v>
      </c>
      <c r="T4" s="233">
        <f>IF(tblRiskTreatmentPrograms25[[#This Row],[Count]]=0,"",tblRiskTreatmentPrograms25[[#This Row],[Risk Red]]/tblRiskTreatmentPrograms25[[#This Row],[Dif Sum]])</f>
        <v>0.6428571428571429</v>
      </c>
      <c r="U4" s="33"/>
      <c r="V4" s="33"/>
      <c r="W4" s="33"/>
      <c r="X4" s="33"/>
      <c r="Y4" s="33"/>
      <c r="Z4" s="33"/>
      <c r="AA4" s="33"/>
      <c r="AB4" s="33"/>
      <c r="AC4" s="33"/>
    </row>
    <row r="5" spans="1:29" ht="20.100000000000001" customHeight="1" x14ac:dyDescent="0.45">
      <c r="A5" s="33">
        <v>5</v>
      </c>
      <c r="B5" s="33" t="s">
        <v>12</v>
      </c>
      <c r="C5" s="77" t="s">
        <v>1474</v>
      </c>
      <c r="D5" s="77" t="str" cm="1">
        <f t="array" ref="D5">SUBSTITUTE(_xlfn.TEXTJOIN(CHAR(10),TRUE,IF(('Risk Register'!O:O=tblRiskTreatmentPrograms25[[#This Row],[Common Security Program]])*('Risk Register'!AM:AM="Manage"),'Risk Register'!AP:AP,"")),"" &amp; CHAR(10) &amp; "","" &amp; CHAR(10) &amp; "* ")</f>
        <v>Implement continuous monitoring solutions for service providers, leveraging automated tools to track compliance and receive real-time alerts on security issues.</v>
      </c>
      <c r="E5" s="231" t="str">
        <f>_xlfn.TEXTJOIN(CHAR(10),TRUE,tblRiskTreatmentPrograms25[[#This Row],[Risk Treatment Program (Delete)]],$D$2,"* "&amp;tblRiskTreatmentPrograms25[[#This Row],[In addition, HALOCK recommends the following safeguards:]])</f>
        <v>Establish Organizational Information Security Third Party Security
Ensure that policies, standards, etc. establish the foundation for Information Security Third Party Security:
 * establish the Third Party Security management process for the organization, including vendor risk assessment, relationship management, procurement due diligence, and agreement review;
 * define the type of third party partners and the corresponding onboarding/offboarding requirements;
 * establish the requirements for Third Party Security access including physical and remote access, data access, production system access, monitoring, etc.;
 * establish the requirements for third party partner activity monitoring;
 * establish the requirements for third party partner incident response;
 * define reporting and performance measurement;
 * review, update, and approval of Third Party Security documentation; and
 * communication of Third Party Security policies and processes.
Implement Information Security Third Party Security
Establish, manage and validate operational activities for Third Party Security including:
 * implementing Third Party Security management process for the organization, including vendor risk assessment, relationship management, procurement due diligence, and agreement review;
 * implementing third party partner onboarding/offboarding procedures;
 * restricting Third Party Security access including physical and remote access, data access, production system access;
 * monitoring of Third Party activity, etc.;
 * responding to Third Party Security incidents; and 
 * reporting of Third Party Security performance metrics.
In addition, HALOCK recommends the following safeguards:
* Implement continuous monitoring solutions for service providers, leveraging automated tools to track compliance and receive real-time alerts on security issues.</v>
      </c>
      <c r="F5" s="33" t="str" cm="1">
        <f t="array" ref="F5">_xlfn.TEXTJOIN(CHAR(10),TRUE,IF((ProTrak[Common Security Program]=tblRiskTreatmentPrograms25[[#This Row],[Common Security Program]])*(ProTrak[Status]="Completed"),ProTrak[Task],""))</f>
        <v/>
      </c>
      <c r="G5" s="232">
        <f>COUNTIFS('Risk Register'!O:O,tblRiskTreatmentPrograms25[[#This Row],[Common Security Program]],'Risk Register'!AM:AM,"Manage")</f>
        <v>1</v>
      </c>
      <c r="H5" s="232">
        <f>_xlfn.MAXIFS('Risk Register'!AG:AG,'Risk Register'!O:O,tblRiskTreatmentPrograms25[[#This Row],[Common Security Program]])</f>
        <v>12</v>
      </c>
      <c r="I5" s="232">
        <f>AVERAGEIFS('Risk Register'!AG:AG,'Risk Register'!O:O,tblRiskTreatmentPrograms25[[#This Row],[Common Security Program]])</f>
        <v>6.8571428571428568</v>
      </c>
      <c r="J5" s="232">
        <f>SUMIFS('Risk Register'!AG:AG,'Risk Register'!O:O,tblRiskTreatmentPrograms25[[#This Row],[Common Security Program]])</f>
        <v>48</v>
      </c>
      <c r="K5" s="232">
        <f>SUMIFS('Risk Register'!AL:AL,'Risk Register'!O:O,tblRiskTreatmentPrograms25[[#This Row],[Common Security Program]])</f>
        <v>48</v>
      </c>
      <c r="L5" s="232">
        <f>_xlfn.MAXIFS('Risk Register'!BA:BA,'Risk Register'!O:O,tblRiskTreatmentPrograms25[[#This Row],[Common Security Program]])</f>
        <v>6</v>
      </c>
      <c r="M5" s="232">
        <f>AVERAGEIFS('Risk Register'!BA:BA,'Risk Register'!O:O,tblRiskTreatmentPrograms25[[#This Row],[Common Security Program]])</f>
        <v>6</v>
      </c>
      <c r="N5" s="232">
        <f>SUMIFS('Risk Register'!BA:BA,'Risk Register'!O:O,tblRiskTreatmentPrograms25[[#This Row],[Common Security Program]])</f>
        <v>42</v>
      </c>
      <c r="O5" s="232">
        <f>tblRiskTreatmentPrograms25[[#This Row],[Max]]-tblRiskTreatmentPrograms25[[#This Row],[Tgt Max]]</f>
        <v>6</v>
      </c>
      <c r="P5" s="232">
        <f>tblRiskTreatmentPrograms25[[#This Row],[Avg]]-tblRiskTreatmentPrograms25[[#This Row],[Tgt Avg]]</f>
        <v>0.85714285714285676</v>
      </c>
      <c r="Q5" s="232">
        <f>tblRiskTreatmentPrograms25[[#This Row],[Sum]]-tblRiskTreatmentPrograms25[[#This Row],[Tgt Sum]]</f>
        <v>6</v>
      </c>
      <c r="R5" s="232">
        <f>tblRiskTreatmentPrograms25[[#This Row],[Sum]]-tblRiskTreatmentPrograms25[[#This Row],[Sum Cur]]</f>
        <v>0</v>
      </c>
      <c r="S5" s="232">
        <f>tblRiskTreatmentPrograms25[[#This Row],[Sum Cur]]-tblRiskTreatmentPrograms25[[#This Row],[Tgt Sum]]</f>
        <v>6</v>
      </c>
      <c r="T5" s="233">
        <f>IF(tblRiskTreatmentPrograms25[[#This Row],[Count]]=0,"",tblRiskTreatmentPrograms25[[#This Row],[Risk Red]]/tblRiskTreatmentPrograms25[[#This Row],[Dif Sum]])</f>
        <v>0</v>
      </c>
      <c r="U5" s="33"/>
      <c r="V5" s="33"/>
      <c r="W5" s="33"/>
      <c r="X5" s="33"/>
      <c r="Y5" s="33"/>
      <c r="Z5" s="33"/>
      <c r="AA5" s="33"/>
      <c r="AB5" s="33"/>
      <c r="AC5" s="33"/>
    </row>
    <row r="6" spans="1:29" ht="20.100000000000001" customHeight="1" x14ac:dyDescent="0.45">
      <c r="A6" s="33">
        <v>17</v>
      </c>
      <c r="B6" s="33" t="s">
        <v>653</v>
      </c>
      <c r="C6" s="77" t="s">
        <v>1486</v>
      </c>
      <c r="D6" s="77" t="str" cm="1">
        <f t="array" ref="D6">SUBSTITUTE(_xlfn.TEXTJOIN(CHAR(10),TRUE,IF(('Risk Register'!O:O=tblRiskTreatmentPrograms25[[#This Row],[Common Security Program]])*('Risk Register'!AM:AM="Manage"),'Risk Register'!AP:AP,"")),"" &amp; CHAR(10) &amp; "","" &amp; CHAR(10) &amp; "* ")</f>
        <v>Enforce stricter controls on laptop browser extensions, allowing only pre-approved extensions to be installed through the official store.</v>
      </c>
      <c r="E6" s="231" t="str">
        <f>_xlfn.TEXTJOIN(CHAR(10),TRUE,tblRiskTreatmentPrograms25[[#This Row],[Risk Treatment Program (Delete)]],$D$2,"* "&amp;tblRiskTreatmentPrograms25[[#This Row],[In addition, HALOCK recommends the following safeguards:]])</f>
        <v>Establish Organizational Information Security Systems Management
Ensure that policies, standards, etc. establish the foundation for Information Security Systems Management:
 * establish Systems Management requirements including hardening guides, application and system requirements, vendor recommendations, etc.;
 * define reporting and performance measurement;
 * review, update, and approval of Systems Management documentation; and
 * communication of Systems policies and processes.
Implement Information Security Systems Management
Establish, manage and validate operational activities for Systems Management including:
 * ensure hardening/protection of systems based on internal and vendor guidance;
 * reporting of Systems performance metrics.
In addition, HALOCK recommends the following safeguards:
* Enforce stricter controls on laptop browser extensions, allowing only pre-approved extensions to be installed through the official store.</v>
      </c>
      <c r="F6" s="33" t="str" cm="1">
        <f t="array" ref="F6">_xlfn.TEXTJOIN(CHAR(10),TRUE,IF((ProTrak[Common Security Program]=tblRiskTreatmentPrograms25[[#This Row],[Common Security Program]])*(ProTrak[Status]="Completed"),ProTrak[Task],""))</f>
        <v/>
      </c>
      <c r="G6" s="232">
        <f>COUNTIFS('Risk Register'!O:O,tblRiskTreatmentPrograms25[[#This Row],[Common Security Program]],'Risk Register'!AM:AM,"Manage")</f>
        <v>1</v>
      </c>
      <c r="H6" s="232">
        <f>_xlfn.MAXIFS('Risk Register'!AG:AG,'Risk Register'!O:O,tblRiskTreatmentPrograms25[[#This Row],[Common Security Program]])</f>
        <v>12</v>
      </c>
      <c r="I6" s="232">
        <f>AVERAGEIFS('Risk Register'!AG:AG,'Risk Register'!O:O,tblRiskTreatmentPrograms25[[#This Row],[Common Security Program]])</f>
        <v>5</v>
      </c>
      <c r="J6" s="232">
        <f>SUMIFS('Risk Register'!AG:AG,'Risk Register'!O:O,tblRiskTreatmentPrograms25[[#This Row],[Common Security Program]])</f>
        <v>50</v>
      </c>
      <c r="K6" s="232">
        <f>SUMIFS('Risk Register'!AL:AL,'Risk Register'!O:O,tblRiskTreatmentPrograms25[[#This Row],[Common Security Program]])</f>
        <v>50</v>
      </c>
      <c r="L6" s="232">
        <f>_xlfn.MAXIFS('Risk Register'!BA:BA,'Risk Register'!O:O,tblRiskTreatmentPrograms25[[#This Row],[Common Security Program]])</f>
        <v>6</v>
      </c>
      <c r="M6" s="232">
        <f>AVERAGEIFS('Risk Register'!BA:BA,'Risk Register'!O:O,tblRiskTreatmentPrograms25[[#This Row],[Common Security Program]])</f>
        <v>4.4000000000000004</v>
      </c>
      <c r="N6" s="232">
        <f>SUMIFS('Risk Register'!BA:BA,'Risk Register'!O:O,tblRiskTreatmentPrograms25[[#This Row],[Common Security Program]])</f>
        <v>44</v>
      </c>
      <c r="O6" s="232">
        <f>tblRiskTreatmentPrograms25[[#This Row],[Max]]-tblRiskTreatmentPrograms25[[#This Row],[Tgt Max]]</f>
        <v>6</v>
      </c>
      <c r="P6" s="232">
        <f>tblRiskTreatmentPrograms25[[#This Row],[Avg]]-tblRiskTreatmentPrograms25[[#This Row],[Tgt Avg]]</f>
        <v>0.59999999999999964</v>
      </c>
      <c r="Q6" s="232">
        <f>tblRiskTreatmentPrograms25[[#This Row],[Sum]]-tblRiskTreatmentPrograms25[[#This Row],[Tgt Sum]]</f>
        <v>6</v>
      </c>
      <c r="R6" s="232">
        <f>tblRiskTreatmentPrograms25[[#This Row],[Sum]]-tblRiskTreatmentPrograms25[[#This Row],[Sum Cur]]</f>
        <v>0</v>
      </c>
      <c r="S6" s="232">
        <f>tblRiskTreatmentPrograms25[[#This Row],[Sum Cur]]-tblRiskTreatmentPrograms25[[#This Row],[Tgt Sum]]</f>
        <v>6</v>
      </c>
      <c r="T6" s="233">
        <f>IF(tblRiskTreatmentPrograms25[[#This Row],[Count]]=0,"",tblRiskTreatmentPrograms25[[#This Row],[Risk Red]]/tblRiskTreatmentPrograms25[[#This Row],[Dif Sum]])</f>
        <v>0</v>
      </c>
      <c r="U6" s="33"/>
      <c r="V6" s="33"/>
      <c r="W6" s="33"/>
      <c r="X6" s="33"/>
      <c r="Y6" s="33"/>
      <c r="Z6" s="33"/>
      <c r="AA6" s="33"/>
      <c r="AB6" s="33"/>
      <c r="AC6" s="33"/>
    </row>
    <row r="7" spans="1:29" ht="20.100000000000001" customHeight="1" x14ac:dyDescent="0.45">
      <c r="A7" s="33">
        <v>19</v>
      </c>
      <c r="B7" s="33" t="s">
        <v>24</v>
      </c>
      <c r="C7" s="77" t="s">
        <v>1488</v>
      </c>
      <c r="D7" s="77" t="str" cm="1">
        <f t="array" ref="D7">SUBSTITUTE(_xlfn.TEXTJOIN(CHAR(10),TRUE,IF(('Risk Register'!O:O=tblRiskTreatmentPrograms25[[#This Row],[Common Security Program]])*('Risk Register'!AM:AM="Manage"),'Risk Register'!AP:AP,"")),"" &amp; CHAR(10) &amp; "","" &amp; CHAR(10) &amp; "* ")</f>
        <v>Complete the implementation of DMARC by fully configuring SPF and DKIM, and enforce DMARC policy to prevent email spoofing and improve email security.</v>
      </c>
      <c r="E7" s="231" t="str">
        <f>_xlfn.TEXTJOIN(CHAR(10),TRUE,tblRiskTreatmentPrograms25[[#This Row],[Risk Treatment Program (Delete)]],$D$2,"* "&amp;tblRiskTreatmentPrograms25[[#This Row],[In addition, HALOCK recommends the following safeguards:]])</f>
        <v>Establish Organizational Information Security Network Architecture
Ensure that policies, standards, etc. establish the foundation for Secure Network Architecture:
 * define Secure Network Architecture requirements including configuration, project integration, compliance obligations, outsourcing, data protection, etc.;
 * establish Secure Network Architecture procedures in support of the System Development Lifecycle (SDLC), including initiation, design, development, testing, production migration, and support;
 * require periodic training for Network Engineering resources to address evolving secure architecture and configuration techniques;
 * define reporting and performance measurement;
 * review, update, and approval of Secure Application Development documentation; and
 * communication of Secure Application Development policies and processes.
Implement Information Security Network Architecture
Establish, manage and validate operational activities for Secure Network Architecture including:
 * training Network Engineering resources;
 * incorporating Secure Network Engineering concepts, techniques, and compliance obligations in architecture and support initiatives;
 * enforcing Secure Network Architecture requirements when outsourcing network engineering and support;
 * include Secure Network Architecture procedures in the System Development Lifecycle (SDLC), during initiation, design, development, testing, production migration, and support;
 * reporting of Secure Network Architecture performance metrics.
In addition, HALOCK recommends the following safeguards:
* Complete the implementation of DMARC by fully configuring SPF and DKIM, and enforce DMARC policy to prevent email spoofing and improve email security.</v>
      </c>
      <c r="F7" s="33" t="str" cm="1">
        <f t="array" ref="F7">_xlfn.TEXTJOIN(CHAR(10),TRUE,IF((ProTrak[Common Security Program]=tblRiskTreatmentPrograms25[[#This Row],[Common Security Program]])*(ProTrak[Status]="Completed"),ProTrak[Task],""))</f>
        <v/>
      </c>
      <c r="G7" s="232">
        <f>COUNTIFS('Risk Register'!O:O,tblRiskTreatmentPrograms25[[#This Row],[Common Security Program]],'Risk Register'!AM:AM,"Manage")</f>
        <v>1</v>
      </c>
      <c r="H7" s="232">
        <f>_xlfn.MAXIFS('Risk Register'!AG:AG,'Risk Register'!O:O,tblRiskTreatmentPrograms25[[#This Row],[Common Security Program]])</f>
        <v>12</v>
      </c>
      <c r="I7" s="232">
        <f>AVERAGEIFS('Risk Register'!AG:AG,'Risk Register'!O:O,tblRiskTreatmentPrograms25[[#This Row],[Common Security Program]])</f>
        <v>7.333333333333333</v>
      </c>
      <c r="J7" s="232">
        <f>SUMIFS('Risk Register'!AG:AG,'Risk Register'!O:O,tblRiskTreatmentPrograms25[[#This Row],[Common Security Program]])</f>
        <v>88</v>
      </c>
      <c r="K7" s="232">
        <f>SUMIFS('Risk Register'!AL:AL,'Risk Register'!O:O,tblRiskTreatmentPrograms25[[#This Row],[Common Security Program]])</f>
        <v>88</v>
      </c>
      <c r="L7" s="232">
        <f>_xlfn.MAXIFS('Risk Register'!BA:BA,'Risk Register'!O:O,tblRiskTreatmentPrograms25[[#This Row],[Common Security Program]])</f>
        <v>8</v>
      </c>
      <c r="M7" s="232">
        <f>AVERAGEIFS('Risk Register'!BA:BA,'Risk Register'!O:O,tblRiskTreatmentPrograms25[[#This Row],[Common Security Program]])</f>
        <v>6.833333333333333</v>
      </c>
      <c r="N7" s="232">
        <f>SUMIFS('Risk Register'!BA:BA,'Risk Register'!O:O,tblRiskTreatmentPrograms25[[#This Row],[Common Security Program]])</f>
        <v>82</v>
      </c>
      <c r="O7" s="232">
        <f>tblRiskTreatmentPrograms25[[#This Row],[Max]]-tblRiskTreatmentPrograms25[[#This Row],[Tgt Max]]</f>
        <v>4</v>
      </c>
      <c r="P7" s="232">
        <f>tblRiskTreatmentPrograms25[[#This Row],[Avg]]-tblRiskTreatmentPrograms25[[#This Row],[Tgt Avg]]</f>
        <v>0.5</v>
      </c>
      <c r="Q7" s="232">
        <f>tblRiskTreatmentPrograms25[[#This Row],[Sum]]-tblRiskTreatmentPrograms25[[#This Row],[Tgt Sum]]</f>
        <v>6</v>
      </c>
      <c r="R7" s="232">
        <f>tblRiskTreatmentPrograms25[[#This Row],[Sum]]-tblRiskTreatmentPrograms25[[#This Row],[Sum Cur]]</f>
        <v>0</v>
      </c>
      <c r="S7" s="232">
        <f>tblRiskTreatmentPrograms25[[#This Row],[Sum Cur]]-tblRiskTreatmentPrograms25[[#This Row],[Tgt Sum]]</f>
        <v>6</v>
      </c>
      <c r="T7" s="233">
        <f>IF(tblRiskTreatmentPrograms25[[#This Row],[Count]]=0,"",tblRiskTreatmentPrograms25[[#This Row],[Risk Red]]/tblRiskTreatmentPrograms25[[#This Row],[Dif Sum]])</f>
        <v>0</v>
      </c>
      <c r="U7" s="33"/>
      <c r="V7" s="33"/>
      <c r="W7" s="33"/>
      <c r="X7" s="33"/>
      <c r="Y7" s="33"/>
      <c r="Z7" s="33"/>
      <c r="AA7" s="33"/>
      <c r="AB7" s="33"/>
      <c r="AC7" s="33"/>
    </row>
    <row r="8" spans="1:29" ht="20.100000000000001" customHeight="1" x14ac:dyDescent="0.45">
      <c r="A8" s="33">
        <v>20</v>
      </c>
      <c r="B8" s="33" t="s">
        <v>655</v>
      </c>
      <c r="C8" s="77" t="s">
        <v>1489</v>
      </c>
      <c r="D8" s="77" t="str" cm="1">
        <f t="array" ref="D8">SUBSTITUTE(_xlfn.TEXTJOIN(CHAR(10),TRUE,IF(('Risk Register'!O:O=tblRiskTreatmentPrograms25[[#This Row],[Common Security Program]])*('Risk Register'!AM:AM="Manage"),'Risk Register'!AP:AP,"")),"" &amp; CHAR(10) &amp; "","" &amp; CHAR(10) &amp; "* ")</f>
        <v>Restrict browser extensions to those explicitly approved and necessary for business operations, ensuring all other extensions are disabled to minimize security risks.</v>
      </c>
      <c r="E8" s="231" t="str">
        <f>_xlfn.TEXTJOIN(CHAR(10),TRUE,tblRiskTreatmentPrograms25[[#This Row],[Risk Treatment Program (Delete)]],$D$2,"* "&amp;tblRiskTreatmentPrograms25[[#This Row],[In addition, HALOCK recommends the following safeguards:]])</f>
        <v>Establish Organizational Information Security Application Management
Ensure that policies, standards, etc. establish the foundation for Information Security Application Management:
 * establish Application Management requirements including configuration guides, vendor recommendations, etc.;
 * define reporting and performance measurement;
 * review, update, and approval of Applications documentation; and
 * communication of Applications policies and processes.
Implement Information Security Application Management
Establish, manage and validate operational activities for Application Management including:
 * ensure secure configuration of systems based on internal and vendor guidance;
 * reporting of Application Management performance metrics.
In addition, HALOCK recommends the following safeguards:
* Restrict browser extensions to those explicitly approved and necessary for business operations, ensuring all other extensions are disabled to minimize security risks.</v>
      </c>
      <c r="F8" s="33" t="str" cm="1">
        <f t="array" ref="F8">_xlfn.TEXTJOIN(CHAR(10),TRUE,IF((ProTrak[Common Security Program]=tblRiskTreatmentPrograms25[[#This Row],[Common Security Program]])*(ProTrak[Status]="Completed"),ProTrak[Task],""))</f>
        <v/>
      </c>
      <c r="G8" s="232">
        <f>COUNTIFS('Risk Register'!O:O,tblRiskTreatmentPrograms25[[#This Row],[Common Security Program]],'Risk Register'!AM:AM,"Manage")</f>
        <v>1</v>
      </c>
      <c r="H8" s="232">
        <f>_xlfn.MAXIFS('Risk Register'!AG:AG,'Risk Register'!O:O,tblRiskTreatmentPrograms25[[#This Row],[Common Security Program]])</f>
        <v>12</v>
      </c>
      <c r="I8" s="232">
        <f>AVERAGEIFS('Risk Register'!AG:AG,'Risk Register'!O:O,tblRiskTreatmentPrograms25[[#This Row],[Common Security Program]])</f>
        <v>12</v>
      </c>
      <c r="J8" s="232">
        <f>SUMIFS('Risk Register'!AG:AG,'Risk Register'!O:O,tblRiskTreatmentPrograms25[[#This Row],[Common Security Program]])</f>
        <v>12</v>
      </c>
      <c r="K8" s="232">
        <f>SUMIFS('Risk Register'!AL:AL,'Risk Register'!O:O,tblRiskTreatmentPrograms25[[#This Row],[Common Security Program]])</f>
        <v>12</v>
      </c>
      <c r="L8" s="232">
        <f>_xlfn.MAXIFS('Risk Register'!BA:BA,'Risk Register'!O:O,tblRiskTreatmentPrograms25[[#This Row],[Common Security Program]])</f>
        <v>6</v>
      </c>
      <c r="M8" s="232">
        <f>AVERAGEIFS('Risk Register'!BA:BA,'Risk Register'!O:O,tblRiskTreatmentPrograms25[[#This Row],[Common Security Program]])</f>
        <v>6</v>
      </c>
      <c r="N8" s="232">
        <f>SUMIFS('Risk Register'!BA:BA,'Risk Register'!O:O,tblRiskTreatmentPrograms25[[#This Row],[Common Security Program]])</f>
        <v>6</v>
      </c>
      <c r="O8" s="232">
        <f>tblRiskTreatmentPrograms25[[#This Row],[Max]]-tblRiskTreatmentPrograms25[[#This Row],[Tgt Max]]</f>
        <v>6</v>
      </c>
      <c r="P8" s="232">
        <f>tblRiskTreatmentPrograms25[[#This Row],[Avg]]-tblRiskTreatmentPrograms25[[#This Row],[Tgt Avg]]</f>
        <v>6</v>
      </c>
      <c r="Q8" s="232">
        <f>tblRiskTreatmentPrograms25[[#This Row],[Sum]]-tblRiskTreatmentPrograms25[[#This Row],[Tgt Sum]]</f>
        <v>6</v>
      </c>
      <c r="R8" s="232">
        <f>tblRiskTreatmentPrograms25[[#This Row],[Sum]]-tblRiskTreatmentPrograms25[[#This Row],[Sum Cur]]</f>
        <v>0</v>
      </c>
      <c r="S8" s="232">
        <f>tblRiskTreatmentPrograms25[[#This Row],[Sum Cur]]-tblRiskTreatmentPrograms25[[#This Row],[Tgt Sum]]</f>
        <v>6</v>
      </c>
      <c r="T8" s="233">
        <f>IF(tblRiskTreatmentPrograms25[[#This Row],[Count]]=0,"",tblRiskTreatmentPrograms25[[#This Row],[Risk Red]]/tblRiskTreatmentPrograms25[[#This Row],[Dif Sum]])</f>
        <v>0</v>
      </c>
      <c r="U8" s="33"/>
      <c r="V8" s="33"/>
      <c r="W8" s="33"/>
      <c r="X8" s="33"/>
      <c r="Y8" s="33"/>
      <c r="Z8" s="33"/>
      <c r="AA8" s="33"/>
      <c r="AB8" s="33"/>
      <c r="AC8" s="33"/>
    </row>
    <row r="9" spans="1:29" ht="20.100000000000001" customHeight="1" x14ac:dyDescent="0.45">
      <c r="A9" s="33">
        <v>24</v>
      </c>
      <c r="B9" s="33" t="s">
        <v>28</v>
      </c>
      <c r="C9" s="77" t="s">
        <v>1493</v>
      </c>
      <c r="D9" s="77" t="str" cm="1">
        <f t="array" ref="D9">SUBSTITUTE(_xlfn.TEXTJOIN(CHAR(10),TRUE,IF(('Risk Register'!O:O=tblRiskTreatmentPrograms25[[#This Row],[Common Security Program]])*('Risk Register'!AM:AM="Manage"),'Risk Register'!AP:AP,"")),"" &amp; CHAR(10) &amp; "","" &amp; CHAR(10) &amp; "* ")</f>
        <v>Ensure that all USB devices are automatically encrypted by default, updating policies and tools to enforce encryption consistently.</v>
      </c>
      <c r="E9" s="231" t="str">
        <f>_xlfn.TEXTJOIN(CHAR(10),TRUE,tblRiskTreatmentPrograms25[[#This Row],[Risk Treatment Program (Delete)]],$D$2,"* "&amp;tblRiskTreatmentPrograms25[[#This Row],[In addition, HALOCK recommends the following safeguards:]])</f>
        <v>Establish Organizational Information Security Media Security
Ensure that policies, standards, etc. establish the foundation for Media Security:
 * establish Media Security requirements including disposal and reuse of equipment, removal of assets, clear desk/screen, etc.;
 * define reporting and performance measurement;
 * review, update, and approval of Media Security documentation; and
 * communication of Media Security policies and processes.
Implement Information Security Media Security
Establish, manage and validate operational activities for Media Security including:
 * ensure physical and removable equipment are secured prior to reuse or disposal using industry best practice techniques;
 * ensure physical media is secure when not in use;
 * reporting of Media Security performance metrics.
In addition, HALOCK recommends the following safeguards:
* Ensure that all USB devices are automatically encrypted by default, updating policies and tools to enforce encryption consistently.</v>
      </c>
      <c r="F9" s="33" t="str" cm="1">
        <f t="array" ref="F9">_xlfn.TEXTJOIN(CHAR(10),TRUE,IF((ProTrak[Common Security Program]=tblRiskTreatmentPrograms25[[#This Row],[Common Security Program]])*(ProTrak[Status]="Completed"),ProTrak[Task],""))</f>
        <v/>
      </c>
      <c r="G9" s="232">
        <f>COUNTIFS('Risk Register'!O:O,tblRiskTreatmentPrograms25[[#This Row],[Common Security Program]],'Risk Register'!AM:AM,"Manage")</f>
        <v>1</v>
      </c>
      <c r="H9" s="232">
        <f>_xlfn.MAXIFS('Risk Register'!AG:AG,'Risk Register'!O:O,tblRiskTreatmentPrograms25[[#This Row],[Common Security Program]])</f>
        <v>9</v>
      </c>
      <c r="I9" s="232">
        <f>AVERAGEIFS('Risk Register'!AG:AG,'Risk Register'!O:O,tblRiskTreatmentPrograms25[[#This Row],[Common Security Program]])</f>
        <v>5.6</v>
      </c>
      <c r="J9" s="232">
        <f>SUMIFS('Risk Register'!AG:AG,'Risk Register'!O:O,tblRiskTreatmentPrograms25[[#This Row],[Common Security Program]])</f>
        <v>28</v>
      </c>
      <c r="K9" s="232">
        <f>SUMIFS('Risk Register'!AL:AL,'Risk Register'!O:O,tblRiskTreatmentPrograms25[[#This Row],[Common Security Program]])</f>
        <v>28</v>
      </c>
      <c r="L9" s="232">
        <f>_xlfn.MAXIFS('Risk Register'!BA:BA,'Risk Register'!O:O,tblRiskTreatmentPrograms25[[#This Row],[Common Security Program]])</f>
        <v>6</v>
      </c>
      <c r="M9" s="232">
        <f>AVERAGEIFS('Risk Register'!BA:BA,'Risk Register'!O:O,tblRiskTreatmentPrograms25[[#This Row],[Common Security Program]])</f>
        <v>5</v>
      </c>
      <c r="N9" s="232">
        <f>SUMIFS('Risk Register'!BA:BA,'Risk Register'!O:O,tblRiskTreatmentPrograms25[[#This Row],[Common Security Program]])</f>
        <v>25</v>
      </c>
      <c r="O9" s="232">
        <f>tblRiskTreatmentPrograms25[[#This Row],[Max]]-tblRiskTreatmentPrograms25[[#This Row],[Tgt Max]]</f>
        <v>3</v>
      </c>
      <c r="P9" s="232">
        <f>tblRiskTreatmentPrograms25[[#This Row],[Avg]]-tblRiskTreatmentPrograms25[[#This Row],[Tgt Avg]]</f>
        <v>0.59999999999999964</v>
      </c>
      <c r="Q9" s="232">
        <f>tblRiskTreatmentPrograms25[[#This Row],[Sum]]-tblRiskTreatmentPrograms25[[#This Row],[Tgt Sum]]</f>
        <v>3</v>
      </c>
      <c r="R9" s="232">
        <f>tblRiskTreatmentPrograms25[[#This Row],[Sum]]-tblRiskTreatmentPrograms25[[#This Row],[Sum Cur]]</f>
        <v>0</v>
      </c>
      <c r="S9" s="232">
        <f>tblRiskTreatmentPrograms25[[#This Row],[Sum Cur]]-tblRiskTreatmentPrograms25[[#This Row],[Tgt Sum]]</f>
        <v>3</v>
      </c>
      <c r="T9" s="233">
        <f>IF(tblRiskTreatmentPrograms25[[#This Row],[Count]]=0,"",tblRiskTreatmentPrograms25[[#This Row],[Risk Red]]/tblRiskTreatmentPrograms25[[#This Row],[Dif Sum]])</f>
        <v>0</v>
      </c>
      <c r="U9" s="33"/>
      <c r="V9" s="33"/>
      <c r="W9" s="33"/>
      <c r="X9" s="33"/>
      <c r="Y9" s="33"/>
      <c r="Z9" s="33"/>
      <c r="AA9" s="33"/>
      <c r="AB9" s="33"/>
      <c r="AC9" s="33"/>
    </row>
    <row r="10" spans="1:29" ht="20.100000000000001" customHeight="1" x14ac:dyDescent="0.45">
      <c r="A10" s="33">
        <v>1</v>
      </c>
      <c r="B10" s="33" t="s">
        <v>8</v>
      </c>
      <c r="C10" s="77" t="s">
        <v>1470</v>
      </c>
      <c r="D10" s="77" t="str" cm="1">
        <f t="array" ref="D10">SUBSTITUTE(_xlfn.TEXTJOIN(CHAR(10),TRUE,IF(('Risk Register'!O:O=tblRiskTreatmentPrograms25[[#This Row],[Common Security Program]])*('Risk Register'!AM:AM="Manage"),'Risk Register'!AP:AP,"")),"" &amp; CHAR(10) &amp; "","" &amp; CHAR(10) &amp; "* ")</f>
        <v/>
      </c>
      <c r="E10" s="231" t="str">
        <f>_xlfn.TEXTJOIN(CHAR(10),TRUE,tblRiskTreatmentPrograms25[[#This Row],[Risk Treatment Program (Delete)]],$D$2,"* "&amp;tblRiskTreatmentPrograms25[[#This Row],[In addition, HALOCK recommends the following safeguards:]])</f>
        <v xml:space="preserve">Establish Organizational Information Security Governance
Ensure that organizational guidance (policies, charters, etc.) establishes the basis for Information Security Governance:
 * establish the high level information security requirements, including organizational structure, interested parties, leadership participation, etc.;
 * associate organizational directives (Mission, Objectives, Obligations) to the Information Security Program;
 * establish expectations for executive and/or board level communication and reporting;
 * review, update, and approval of Information Security Program documentation; and
 * communication of Information Security Program policies and processes.
Document Information Security policies and standards
Formalize the documentation required for the Information Security Program. Account for the:
 * establishment of requisite groups or committees; 
 * official documents required by executive management and/or regulations and standards, 
 * Information Security Program roles and responsibilities; and 
 * processes for the management of Information Security Program documentation.
Establish, manage and validate operational activities for the Information Security Program including:
 * execution, review and improvement of Information Security Program organization activities
 * periodic executive management reporting/presentations.
In addition, HALOCK recommends the following safeguards:
* </v>
      </c>
      <c r="F10" s="33" t="str" cm="1">
        <f t="array" ref="F10">_xlfn.TEXTJOIN(CHAR(10),TRUE,IF((ProTrak[Common Security Program]=tblRiskTreatmentPrograms25[[#This Row],[Common Security Program]])*(ProTrak[Status]="Completed"),ProTrak[Task],""))</f>
        <v/>
      </c>
      <c r="G10" s="232">
        <f>COUNTIFS('Risk Register'!O:O,tblRiskTreatmentPrograms25[[#This Row],[Common Security Program]],'Risk Register'!AM:AM,"Manage")</f>
        <v>0</v>
      </c>
      <c r="H10" s="232">
        <f>_xlfn.MAXIFS('Risk Register'!AG:AG,'Risk Register'!O:O,tblRiskTreatmentPrograms25[[#This Row],[Common Security Program]])</f>
        <v>0</v>
      </c>
      <c r="I10" s="232" t="e">
        <f>AVERAGEIFS('Risk Register'!AG:AG,'Risk Register'!O:O,tblRiskTreatmentPrograms25[[#This Row],[Common Security Program]])</f>
        <v>#DIV/0!</v>
      </c>
      <c r="J10" s="232">
        <f>SUMIFS('Risk Register'!AG:AG,'Risk Register'!O:O,tblRiskTreatmentPrograms25[[#This Row],[Common Security Program]])</f>
        <v>0</v>
      </c>
      <c r="K10" s="232">
        <f>SUMIFS('Risk Register'!AL:AL,'Risk Register'!O:O,tblRiskTreatmentPrograms25[[#This Row],[Common Security Program]])</f>
        <v>0</v>
      </c>
      <c r="L10" s="232">
        <f>_xlfn.MAXIFS('Risk Register'!BA:BA,'Risk Register'!O:O,tblRiskTreatmentPrograms25[[#This Row],[Common Security Program]])</f>
        <v>0</v>
      </c>
      <c r="M10" s="232" t="e">
        <f>AVERAGEIFS('Risk Register'!BA:BA,'Risk Register'!O:O,tblRiskTreatmentPrograms25[[#This Row],[Common Security Program]])</f>
        <v>#DIV/0!</v>
      </c>
      <c r="N10" s="232">
        <f>SUMIFS('Risk Register'!BA:BA,'Risk Register'!O:O,tblRiskTreatmentPrograms25[[#This Row],[Common Security Program]])</f>
        <v>0</v>
      </c>
      <c r="O10" s="232">
        <f>tblRiskTreatmentPrograms25[[#This Row],[Max]]-tblRiskTreatmentPrograms25[[#This Row],[Tgt Max]]</f>
        <v>0</v>
      </c>
      <c r="P10" s="232" t="e">
        <f>tblRiskTreatmentPrograms25[[#This Row],[Avg]]-tblRiskTreatmentPrograms25[[#This Row],[Tgt Avg]]</f>
        <v>#DIV/0!</v>
      </c>
      <c r="Q10" s="232">
        <f>tblRiskTreatmentPrograms25[[#This Row],[Sum]]-tblRiskTreatmentPrograms25[[#This Row],[Tgt Sum]]</f>
        <v>0</v>
      </c>
      <c r="R10" s="232">
        <f>tblRiskTreatmentPrograms25[[#This Row],[Sum]]-tblRiskTreatmentPrograms25[[#This Row],[Sum Cur]]</f>
        <v>0</v>
      </c>
      <c r="S10" s="232">
        <f>tblRiskTreatmentPrograms25[[#This Row],[Sum Cur]]-tblRiskTreatmentPrograms25[[#This Row],[Tgt Sum]]</f>
        <v>0</v>
      </c>
      <c r="T10" s="233" t="str">
        <f>IF(tblRiskTreatmentPrograms25[[#This Row],[Count]]=0,"",tblRiskTreatmentPrograms25[[#This Row],[Risk Red]]/tblRiskTreatmentPrograms25[[#This Row],[Dif Sum]])</f>
        <v/>
      </c>
      <c r="U10" s="33"/>
      <c r="V10" s="33"/>
      <c r="W10" s="33"/>
      <c r="X10" s="33"/>
      <c r="Y10" s="33"/>
      <c r="Z10" s="33"/>
      <c r="AA10" s="33"/>
      <c r="AB10" s="33"/>
      <c r="AC10" s="33"/>
    </row>
    <row r="11" spans="1:29" ht="20.100000000000001" customHeight="1" x14ac:dyDescent="0.45">
      <c r="A11" s="33">
        <v>2</v>
      </c>
      <c r="B11" s="33" t="s">
        <v>9</v>
      </c>
      <c r="C11" s="77" t="s">
        <v>1471</v>
      </c>
      <c r="D11" s="77" t="str" cm="1">
        <f t="array" ref="D11">SUBSTITUTE(_xlfn.TEXTJOIN(CHAR(10),TRUE,IF(('Risk Register'!O:O=tblRiskTreatmentPrograms25[[#This Row],[Common Security Program]])*('Risk Register'!AM:AM="Manage"),'Risk Register'!AP:AP,"")),"" &amp; CHAR(10) &amp; "","" &amp; CHAR(10) &amp; "* ")</f>
        <v/>
      </c>
      <c r="E11" s="231" t="str">
        <f>_xlfn.TEXTJOIN(CHAR(10),TRUE,tblRiskTreatmentPrograms25[[#This Row],[Risk Treatment Program (Delete)]],$D$2,"* "&amp;tblRiskTreatmentPrograms25[[#This Row],[In addition, HALOCK recommends the following safeguards:]])</f>
        <v xml:space="preserve">Establish Organizational Information Security Audit &amp; Compliance
Ensure that policies, standards, etc. establish the foundation for Information Security Audit &amp; Compliance:
 * establish the high level audit requirements including internal and external review, management review, reporting and performance measurement, and remediation;
 * document organizational compliance (legal and regulatory) obligations and associated requirements, including reporting and notification;
 * establish and document plans for Audit &amp; Compliance activity;
 * establish expectations for metrics and measurement of existing controls;
 * review, update, and approval of Audit &amp; Compliance documentation;
 * review, update, and approval of organizational compliance obligations; and
 * communication of Audit &amp; Compliance policies and processes.
Implement Information Security Audit &amp; Compliance
Establish, manage and validate operational activities for Information Security Audit &amp; Compliance including:
 * execution, review and improvement of Audit &amp; Compliance activities including planned audit activity and reporting, compliance review and validation, and management review; and
 * reporting of Audit &amp; Compliance performance metrics.
In addition, HALOCK recommends the following safeguards:
* </v>
      </c>
      <c r="F11" s="33" t="str" cm="1">
        <f t="array" ref="F11">_xlfn.TEXTJOIN(CHAR(10),TRUE,IF((ProTrak[Common Security Program]=tblRiskTreatmentPrograms25[[#This Row],[Common Security Program]])*(ProTrak[Status]="Completed"),ProTrak[Task],""))</f>
        <v/>
      </c>
      <c r="G11" s="232">
        <f>COUNTIFS('Risk Register'!O:O,tblRiskTreatmentPrograms25[[#This Row],[Common Security Program]],'Risk Register'!AM:AM,"Manage")</f>
        <v>0</v>
      </c>
      <c r="H11" s="232">
        <f>_xlfn.MAXIFS('Risk Register'!AG:AG,'Risk Register'!O:O,tblRiskTreatmentPrograms25[[#This Row],[Common Security Program]])</f>
        <v>0</v>
      </c>
      <c r="I11" s="232" t="e">
        <f>AVERAGEIFS('Risk Register'!AG:AG,'Risk Register'!O:O,tblRiskTreatmentPrograms25[[#This Row],[Common Security Program]])</f>
        <v>#DIV/0!</v>
      </c>
      <c r="J11" s="232">
        <f>SUMIFS('Risk Register'!AG:AG,'Risk Register'!O:O,tblRiskTreatmentPrograms25[[#This Row],[Common Security Program]])</f>
        <v>0</v>
      </c>
      <c r="K11" s="232">
        <f>SUMIFS('Risk Register'!AL:AL,'Risk Register'!O:O,tblRiskTreatmentPrograms25[[#This Row],[Common Security Program]])</f>
        <v>0</v>
      </c>
      <c r="L11" s="232">
        <f>_xlfn.MAXIFS('Risk Register'!BA:BA,'Risk Register'!O:O,tblRiskTreatmentPrograms25[[#This Row],[Common Security Program]])</f>
        <v>0</v>
      </c>
      <c r="M11" s="232" t="e">
        <f>AVERAGEIFS('Risk Register'!BA:BA,'Risk Register'!O:O,tblRiskTreatmentPrograms25[[#This Row],[Common Security Program]])</f>
        <v>#DIV/0!</v>
      </c>
      <c r="N11" s="232">
        <f>SUMIFS('Risk Register'!BA:BA,'Risk Register'!O:O,tblRiskTreatmentPrograms25[[#This Row],[Common Security Program]])</f>
        <v>0</v>
      </c>
      <c r="O11" s="232">
        <f>tblRiskTreatmentPrograms25[[#This Row],[Max]]-tblRiskTreatmentPrograms25[[#This Row],[Tgt Max]]</f>
        <v>0</v>
      </c>
      <c r="P11" s="232" t="e">
        <f>tblRiskTreatmentPrograms25[[#This Row],[Avg]]-tblRiskTreatmentPrograms25[[#This Row],[Tgt Avg]]</f>
        <v>#DIV/0!</v>
      </c>
      <c r="Q11" s="232">
        <f>tblRiskTreatmentPrograms25[[#This Row],[Sum]]-tblRiskTreatmentPrograms25[[#This Row],[Tgt Sum]]</f>
        <v>0</v>
      </c>
      <c r="R11" s="232">
        <f>tblRiskTreatmentPrograms25[[#This Row],[Sum]]-tblRiskTreatmentPrograms25[[#This Row],[Sum Cur]]</f>
        <v>0</v>
      </c>
      <c r="S11" s="232">
        <f>tblRiskTreatmentPrograms25[[#This Row],[Sum Cur]]-tblRiskTreatmentPrograms25[[#This Row],[Tgt Sum]]</f>
        <v>0</v>
      </c>
      <c r="T11" s="233" t="str">
        <f>IF(tblRiskTreatmentPrograms25[[#This Row],[Count]]=0,"",tblRiskTreatmentPrograms25[[#This Row],[Risk Red]]/tblRiskTreatmentPrograms25[[#This Row],[Dif Sum]])</f>
        <v/>
      </c>
      <c r="U11" s="33"/>
      <c r="V11" s="33"/>
      <c r="W11" s="33"/>
      <c r="X11" s="33"/>
      <c r="Y11" s="33"/>
      <c r="Z11" s="33"/>
      <c r="AA11" s="33"/>
      <c r="AB11" s="33"/>
      <c r="AC11" s="33"/>
    </row>
    <row r="12" spans="1:29" ht="20.100000000000001" customHeight="1" x14ac:dyDescent="0.45">
      <c r="A12" s="33">
        <v>3</v>
      </c>
      <c r="B12" s="33" t="s">
        <v>10</v>
      </c>
      <c r="C12" s="77" t="s">
        <v>1472</v>
      </c>
      <c r="D12" s="77" t="str" cm="1">
        <f t="array" ref="D12">SUBSTITUTE(_xlfn.TEXTJOIN(CHAR(10),TRUE,IF(('Risk Register'!O:O=tblRiskTreatmentPrograms25[[#This Row],[Common Security Program]])*('Risk Register'!AM:AM="Manage"),'Risk Register'!AP:AP,"")),"" &amp; CHAR(10) &amp; "","" &amp; CHAR(10) &amp; "* ")</f>
        <v/>
      </c>
      <c r="E12" s="231" t="str">
        <f>_xlfn.TEXTJOIN(CHAR(10),TRUE,tblRiskTreatmentPrograms25[[#This Row],[Risk Treatment Program (Delete)]],$D$2,"* "&amp;tblRiskTreatmentPrograms25[[#This Row],[In addition, HALOCK recommends the following safeguards:]])</f>
        <v xml:space="preserve">Establish Organizational Information Security Risk Assessment
Ensure that policies, standards, etc. establish the foundation for Information Security Risk Assessment:
 * establish the risk assessment requirements including, methodology and approach, organizational risk assessment criteria, documentation requirements, risk treatment planning, risk management activity, management review, and reporting and performance measurement;
 * establish and document plans for Risk Assessment activity;
 * review, update, and approval of Risk Assessment documentation; and
 * communication of Risk Assessment policies and processes.
Implement Information Security Risk Assessment
Establish, manage and validate operational activities for Information Security Risk Assessment including:
 * execution, review and improvement of Risk Assessment activities including scheduled risk assessments and reporting, risk management activities, and management review; and
 * reporting of Risk Assessment performance metrics.
In addition, HALOCK recommends the following safeguards:
* </v>
      </c>
      <c r="F12" s="33" t="str" cm="1">
        <f t="array" ref="F12">_xlfn.TEXTJOIN(CHAR(10),TRUE,IF((ProTrak[Common Security Program]=tblRiskTreatmentPrograms25[[#This Row],[Common Security Program]])*(ProTrak[Status]="Completed"),ProTrak[Task],""))</f>
        <v/>
      </c>
      <c r="G12" s="232">
        <f>COUNTIFS('Risk Register'!O:O,tblRiskTreatmentPrograms25[[#This Row],[Common Security Program]],'Risk Register'!AM:AM,"Manage")</f>
        <v>0</v>
      </c>
      <c r="H12" s="232">
        <f>_xlfn.MAXIFS('Risk Register'!AG:AG,'Risk Register'!O:O,tblRiskTreatmentPrograms25[[#This Row],[Common Security Program]])</f>
        <v>0</v>
      </c>
      <c r="I12" s="232" t="e">
        <f>AVERAGEIFS('Risk Register'!AG:AG,'Risk Register'!O:O,tblRiskTreatmentPrograms25[[#This Row],[Common Security Program]])</f>
        <v>#DIV/0!</v>
      </c>
      <c r="J12" s="232">
        <f>SUMIFS('Risk Register'!AG:AG,'Risk Register'!O:O,tblRiskTreatmentPrograms25[[#This Row],[Common Security Program]])</f>
        <v>0</v>
      </c>
      <c r="K12" s="232">
        <f>SUMIFS('Risk Register'!AL:AL,'Risk Register'!O:O,tblRiskTreatmentPrograms25[[#This Row],[Common Security Program]])</f>
        <v>0</v>
      </c>
      <c r="L12" s="232">
        <f>_xlfn.MAXIFS('Risk Register'!BA:BA,'Risk Register'!O:O,tblRiskTreatmentPrograms25[[#This Row],[Common Security Program]])</f>
        <v>0</v>
      </c>
      <c r="M12" s="232" t="e">
        <f>AVERAGEIFS('Risk Register'!BA:BA,'Risk Register'!O:O,tblRiskTreatmentPrograms25[[#This Row],[Common Security Program]])</f>
        <v>#DIV/0!</v>
      </c>
      <c r="N12" s="232">
        <f>SUMIFS('Risk Register'!BA:BA,'Risk Register'!O:O,tblRiskTreatmentPrograms25[[#This Row],[Common Security Program]])</f>
        <v>0</v>
      </c>
      <c r="O12" s="232">
        <f>tblRiskTreatmentPrograms25[[#This Row],[Max]]-tblRiskTreatmentPrograms25[[#This Row],[Tgt Max]]</f>
        <v>0</v>
      </c>
      <c r="P12" s="232" t="e">
        <f>tblRiskTreatmentPrograms25[[#This Row],[Avg]]-tblRiskTreatmentPrograms25[[#This Row],[Tgt Avg]]</f>
        <v>#DIV/0!</v>
      </c>
      <c r="Q12" s="232">
        <f>tblRiskTreatmentPrograms25[[#This Row],[Sum]]-tblRiskTreatmentPrograms25[[#This Row],[Tgt Sum]]</f>
        <v>0</v>
      </c>
      <c r="R12" s="232">
        <f>tblRiskTreatmentPrograms25[[#This Row],[Sum]]-tblRiskTreatmentPrograms25[[#This Row],[Sum Cur]]</f>
        <v>0</v>
      </c>
      <c r="S12" s="232">
        <f>tblRiskTreatmentPrograms25[[#This Row],[Sum Cur]]-tblRiskTreatmentPrograms25[[#This Row],[Tgt Sum]]</f>
        <v>0</v>
      </c>
      <c r="T12" s="233" t="str">
        <f>IF(tblRiskTreatmentPrograms25[[#This Row],[Count]]=0,"",tblRiskTreatmentPrograms25[[#This Row],[Risk Red]]/tblRiskTreatmentPrograms25[[#This Row],[Dif Sum]])</f>
        <v/>
      </c>
      <c r="U12" s="33"/>
      <c r="V12" s="33"/>
      <c r="W12" s="33"/>
      <c r="X12" s="33"/>
      <c r="Y12" s="33"/>
      <c r="Z12" s="33"/>
      <c r="AA12" s="33"/>
      <c r="AB12" s="33"/>
      <c r="AC12" s="33"/>
    </row>
    <row r="13" spans="1:29" ht="20.100000000000001" customHeight="1" x14ac:dyDescent="0.45">
      <c r="A13" s="33">
        <v>4</v>
      </c>
      <c r="B13" s="33" t="s">
        <v>11</v>
      </c>
      <c r="C13" s="77" t="s">
        <v>1473</v>
      </c>
      <c r="D13" s="77" t="str" cm="1">
        <f t="array" ref="D13">SUBSTITUTE(_xlfn.TEXTJOIN(CHAR(10),TRUE,IF(('Risk Register'!O:O=tblRiskTreatmentPrograms25[[#This Row],[Common Security Program]])*('Risk Register'!AM:AM="Manage"),'Risk Register'!AP:AP,"")),"" &amp; CHAR(10) &amp; "","" &amp; CHAR(10) &amp; "* ")</f>
        <v>Streamline data handling and retention policies by clearly defining data ownership and resolving retention conflicts, ensuring alignment with enterprise standards.</v>
      </c>
      <c r="E13" s="231" t="str">
        <f>_xlfn.TEXTJOIN(CHAR(10),TRUE,tblRiskTreatmentPrograms25[[#This Row],[Risk Treatment Program (Delete)]],$D$2,"* "&amp;tblRiskTreatmentPrograms25[[#This Row],[In addition, HALOCK recommends the following safeguards:]])</f>
        <v>Establish Organizational Information Security Data Classification &amp; Handling
Ensure that policies, standards, etc. establish the foundation for Information Security Data Classification &amp; Handling:
 * establish the organizational data classification(s) that require unique Information Security controls, including considerations for compliance obligations
 * establish the organization data handling requirements in alignment with the organizations data classification(s), including considerations for physical and electronic media, protection/encryption, storage, transmission, messaging, printing, retention, destruction, sharing, etc.;
 * define reporting and performance measurement;
 * review, update, and approval of Data Classification &amp; Handling documentation; and
 * communication of Data Classification &amp; Handling policies and processes.
Implement Information Security Data Classification &amp; Handling
Establish, manage and validate operational activities for Information Security Data Classification &amp; Handling including:
 * implement unique Information Security controls based on classification of data including considerations for physical and electronic media, protection/encryption, storage, transmission, messaging, printing, retention, destruction, sharing, etc.;
 * reporting of Data Classification &amp; Handling performance metrics.
In addition, HALOCK recommends the following safeguards:
* Streamline data handling and retention policies by clearly defining data ownership and resolving retention conflicts, ensuring alignment with enterprise standards.</v>
      </c>
      <c r="F13" s="33" t="str" cm="1">
        <f t="array" ref="F13">_xlfn.TEXTJOIN(CHAR(10),TRUE,IF((ProTrak[Common Security Program]=tblRiskTreatmentPrograms25[[#This Row],[Common Security Program]])*(ProTrak[Status]="Completed"),ProTrak[Task],""))</f>
        <v>Streamline data handling and retention policies by clearly defining data ownership and resolving retention conflicts, ensuring alignment with enterprise standards.</v>
      </c>
      <c r="G13" s="232">
        <f>COUNTIFS('Risk Register'!O:O,tblRiskTreatmentPrograms25[[#This Row],[Common Security Program]],'Risk Register'!AM:AM,"Manage")</f>
        <v>1</v>
      </c>
      <c r="H13" s="232">
        <f>_xlfn.MAXIFS('Risk Register'!AG:AG,'Risk Register'!O:O,tblRiskTreatmentPrograms25[[#This Row],[Common Security Program]])</f>
        <v>9</v>
      </c>
      <c r="I13" s="232">
        <f>AVERAGEIFS('Risk Register'!AG:AG,'Risk Register'!O:O,tblRiskTreatmentPrograms25[[#This Row],[Common Security Program]])</f>
        <v>4.5</v>
      </c>
      <c r="J13" s="232">
        <f>SUMIFS('Risk Register'!AG:AG,'Risk Register'!O:O,tblRiskTreatmentPrograms25[[#This Row],[Common Security Program]])</f>
        <v>18</v>
      </c>
      <c r="K13" s="232">
        <f>SUMIFS('Risk Register'!AL:AL,'Risk Register'!O:O,tblRiskTreatmentPrograms25[[#This Row],[Common Security Program]])</f>
        <v>15</v>
      </c>
      <c r="L13" s="232">
        <f>_xlfn.MAXIFS('Risk Register'!BA:BA,'Risk Register'!O:O,tblRiskTreatmentPrograms25[[#This Row],[Common Security Program]])</f>
        <v>6</v>
      </c>
      <c r="M13" s="232">
        <f>AVERAGEIFS('Risk Register'!BA:BA,'Risk Register'!O:O,tblRiskTreatmentPrograms25[[#This Row],[Common Security Program]])</f>
        <v>3.75</v>
      </c>
      <c r="N13" s="232">
        <f>SUMIFS('Risk Register'!BA:BA,'Risk Register'!O:O,tblRiskTreatmentPrograms25[[#This Row],[Common Security Program]])</f>
        <v>15</v>
      </c>
      <c r="O13" s="232">
        <f>tblRiskTreatmentPrograms25[[#This Row],[Max]]-tblRiskTreatmentPrograms25[[#This Row],[Tgt Max]]</f>
        <v>3</v>
      </c>
      <c r="P13" s="232">
        <f>tblRiskTreatmentPrograms25[[#This Row],[Avg]]-tblRiskTreatmentPrograms25[[#This Row],[Tgt Avg]]</f>
        <v>0.75</v>
      </c>
      <c r="Q13" s="232">
        <f>tblRiskTreatmentPrograms25[[#This Row],[Sum]]-tblRiskTreatmentPrograms25[[#This Row],[Tgt Sum]]</f>
        <v>3</v>
      </c>
      <c r="R13" s="232">
        <f>tblRiskTreatmentPrograms25[[#This Row],[Sum]]-tblRiskTreatmentPrograms25[[#This Row],[Sum Cur]]</f>
        <v>3</v>
      </c>
      <c r="S13" s="232">
        <f>tblRiskTreatmentPrograms25[[#This Row],[Sum Cur]]-tblRiskTreatmentPrograms25[[#This Row],[Tgt Sum]]</f>
        <v>0</v>
      </c>
      <c r="T13" s="233">
        <f>IF(tblRiskTreatmentPrograms25[[#This Row],[Count]]=0,"",tblRiskTreatmentPrograms25[[#This Row],[Risk Red]]/tblRiskTreatmentPrograms25[[#This Row],[Dif Sum]])</f>
        <v>1</v>
      </c>
      <c r="U13" s="33"/>
      <c r="V13" s="33"/>
      <c r="W13" s="33"/>
      <c r="X13" s="33"/>
      <c r="Y13" s="33"/>
      <c r="Z13" s="33"/>
      <c r="AA13" s="33"/>
      <c r="AB13" s="33"/>
      <c r="AC13" s="33"/>
    </row>
    <row r="14" spans="1:29" ht="20.100000000000001" customHeight="1" x14ac:dyDescent="0.45">
      <c r="A14" s="33">
        <v>6</v>
      </c>
      <c r="B14" s="33" t="s">
        <v>13</v>
      </c>
      <c r="C14" s="77" t="s">
        <v>1475</v>
      </c>
      <c r="D14" s="77" t="str" cm="1">
        <f t="array" ref="D14">SUBSTITUTE(_xlfn.TEXTJOIN(CHAR(10),TRUE,IF(('Risk Register'!O:O=tblRiskTreatmentPrograms25[[#This Row],[Common Security Program]])*('Risk Register'!AM:AM="Manage"),'Risk Register'!AP:AP,"")),"" &amp; CHAR(10) &amp; "","" &amp; CHAR(10) &amp; "* ")</f>
        <v/>
      </c>
      <c r="E14" s="231" t="str">
        <f>_xlfn.TEXTJOIN(CHAR(10),TRUE,tblRiskTreatmentPrograms25[[#This Row],[Risk Treatment Program (Delete)]],$D$2,"* "&amp;tblRiskTreatmentPrograms25[[#This Row],[In addition, HALOCK recommends the following safeguards:]])</f>
        <v xml:space="preserve">Establish Organizational Information Security Incident Response
Ensure that policies, standards, etc. establish the foundation for Information Security Incident Response Program:
 * establish the Incident Response Program for the organization, including incident response planning and incident response testing;
 * ensure the Incident Response Plan includes:
   a. revision history and formal approval;
   b. roles and responsibilities for Incident Response resources (internal and external);
   c. containment procedures;
   d. communication expectations (internal and external);
   e. notification procedures for reporting of the incident to appropriate parties as relevant
   f. collection and use of forensic evidence as part of the incident management and investigation process
   g. appropriate management of evidence for use in subsequent legal or disciplinary proceedings
   h. formal controls for recovery and remediation, including appropriate documentation of actions taken
   i. procedures for appropriate analysis and identification of the causes of an incident
 * require periodic training for Incident Response resources;
 * require periodic testing of the Incident Response Plan;
 * define reporting and performance measurement;
 * review, update, and approval of Incident Response Program documentation; and
 * communication of Incident Response Program policies and processes.
Implement Information Security Incident Response
Establish, manage and validate operational activities for Incident Response including:
 * training Incident Response resources;
 * testing the Incident Response Plan;
 * following the Incident Response Plan during an incident including, containment, communication, notification, collection and management of evidence, remediation, documentation, and root cause analysis;
 * reporting of Incident Response Program performance metrics.
In addition, HALOCK recommends the following safeguards:
* </v>
      </c>
      <c r="F14" s="33" t="str" cm="1">
        <f t="array" ref="F14">_xlfn.TEXTJOIN(CHAR(10),TRUE,IF((ProTrak[Common Security Program]=tblRiskTreatmentPrograms25[[#This Row],[Common Security Program]])*(ProTrak[Status]="Completed"),ProTrak[Task],""))</f>
        <v/>
      </c>
      <c r="G14" s="232">
        <f>COUNTIFS('Risk Register'!O:O,tblRiskTreatmentPrograms25[[#This Row],[Common Security Program]],'Risk Register'!AM:AM,"Manage")</f>
        <v>0</v>
      </c>
      <c r="H14" s="232">
        <f>_xlfn.MAXIFS('Risk Register'!AG:AG,'Risk Register'!O:O,tblRiskTreatmentPrograms25[[#This Row],[Common Security Program]])</f>
        <v>8</v>
      </c>
      <c r="I14" s="232">
        <f>AVERAGEIFS('Risk Register'!AG:AG,'Risk Register'!O:O,tblRiskTreatmentPrograms25[[#This Row],[Common Security Program]])</f>
        <v>8</v>
      </c>
      <c r="J14" s="232">
        <f>SUMIFS('Risk Register'!AG:AG,'Risk Register'!O:O,tblRiskTreatmentPrograms25[[#This Row],[Common Security Program]])</f>
        <v>72</v>
      </c>
      <c r="K14" s="232">
        <f>SUMIFS('Risk Register'!AL:AL,'Risk Register'!O:O,tblRiskTreatmentPrograms25[[#This Row],[Common Security Program]])</f>
        <v>72</v>
      </c>
      <c r="L14" s="232">
        <f>_xlfn.MAXIFS('Risk Register'!BA:BA,'Risk Register'!O:O,tblRiskTreatmentPrograms25[[#This Row],[Common Security Program]])</f>
        <v>8</v>
      </c>
      <c r="M14" s="232">
        <f>AVERAGEIFS('Risk Register'!BA:BA,'Risk Register'!O:O,tblRiskTreatmentPrograms25[[#This Row],[Common Security Program]])</f>
        <v>8</v>
      </c>
      <c r="N14" s="232">
        <f>SUMIFS('Risk Register'!BA:BA,'Risk Register'!O:O,tblRiskTreatmentPrograms25[[#This Row],[Common Security Program]])</f>
        <v>72</v>
      </c>
      <c r="O14" s="232">
        <f>tblRiskTreatmentPrograms25[[#This Row],[Max]]-tblRiskTreatmentPrograms25[[#This Row],[Tgt Max]]</f>
        <v>0</v>
      </c>
      <c r="P14" s="232">
        <f>tblRiskTreatmentPrograms25[[#This Row],[Avg]]-tblRiskTreatmentPrograms25[[#This Row],[Tgt Avg]]</f>
        <v>0</v>
      </c>
      <c r="Q14" s="232">
        <f>tblRiskTreatmentPrograms25[[#This Row],[Sum]]-tblRiskTreatmentPrograms25[[#This Row],[Tgt Sum]]</f>
        <v>0</v>
      </c>
      <c r="R14" s="232">
        <f>tblRiskTreatmentPrograms25[[#This Row],[Sum]]-tblRiskTreatmentPrograms25[[#This Row],[Sum Cur]]</f>
        <v>0</v>
      </c>
      <c r="S14" s="232">
        <f>tblRiskTreatmentPrograms25[[#This Row],[Sum Cur]]-tblRiskTreatmentPrograms25[[#This Row],[Tgt Sum]]</f>
        <v>0</v>
      </c>
      <c r="T14" s="233" t="str">
        <f>IF(tblRiskTreatmentPrograms25[[#This Row],[Count]]=0,"",tblRiskTreatmentPrograms25[[#This Row],[Risk Red]]/tblRiskTreatmentPrograms25[[#This Row],[Dif Sum]])</f>
        <v/>
      </c>
      <c r="U14" s="33"/>
      <c r="V14" s="33"/>
      <c r="W14" s="33"/>
      <c r="X14" s="33"/>
      <c r="Y14" s="33"/>
      <c r="Z14" s="33"/>
      <c r="AA14" s="33"/>
      <c r="AB14" s="33"/>
      <c r="AC14" s="33"/>
    </row>
    <row r="15" spans="1:29" ht="20.100000000000001" customHeight="1" x14ac:dyDescent="0.45">
      <c r="A15" s="33">
        <v>7</v>
      </c>
      <c r="B15" s="33" t="s">
        <v>14</v>
      </c>
      <c r="C15" s="77" t="s">
        <v>1476</v>
      </c>
      <c r="D15" s="77" t="str" cm="1">
        <f t="array" ref="D15">SUBSTITUTE(_xlfn.TEXTJOIN(CHAR(10),TRUE,IF(('Risk Register'!O:O=tblRiskTreatmentPrograms25[[#This Row],[Common Security Program]])*('Risk Register'!AM:AM="Manage"),'Risk Register'!AP:AP,"")),"" &amp; CHAR(10) &amp; "","" &amp; CHAR(10) &amp; "* ")</f>
        <v/>
      </c>
      <c r="E15" s="231" t="str">
        <f>_xlfn.TEXTJOIN(CHAR(10),TRUE,tblRiskTreatmentPrograms25[[#This Row],[Risk Treatment Program (Delete)]],$D$2,"* "&amp;tblRiskTreatmentPrograms25[[#This Row],[In addition, HALOCK recommends the following safeguards:]])</f>
        <v xml:space="preserve">Establish Organizational Information Security BC/DR
Ensure that policies, standards, etc. establish the foundation for Information Security Business Continuity / Disaster Recovery (BC/DR) Program:
 * establish the BC/DR Program for the organization, including BC/DR planning and testing;
 * establish system classification criteria for BC/DR planning use to identify business criticality of applications/systems/processes;
 * ensure the BC/DR Plan includes:
   a. revision history and formal approval;
   b. roles and responsibilities for BC/DR resources (internal and external);
   c. physical location considerations;
   d. communication expectations (internal and external);
   e. temporary security controls;
   f. recovery procedures;
   h. verification procedures;
 * require periodic training for BC/DR resources;
 * require periodic testing of the BC/DR Plan;
 * define reporting and performance measurement;
 * review, update, and approval of BC/DR Program documentation; and
 * communication of BC/DR Program policies and processes.
Implement Information Security BC/DR
Establish, manage and validate operational activities for BC/DR including:
 * training BC/DR resources;
 * testing the BC/DR Plan;
 * following the BC/DR Plan during an event including, physical relocation, communication, temporary security controls, recovery, and verification;
 * reporting of BC/DR Program performance metrics.
In addition, HALOCK recommends the following safeguards:
* </v>
      </c>
      <c r="F15" s="33" t="str" cm="1">
        <f t="array" ref="F15">_xlfn.TEXTJOIN(CHAR(10),TRUE,IF((ProTrak[Common Security Program]=tblRiskTreatmentPrograms25[[#This Row],[Common Security Program]])*(ProTrak[Status]="Completed"),ProTrak[Task],""))</f>
        <v/>
      </c>
      <c r="G15" s="232">
        <f>COUNTIFS('Risk Register'!O:O,tblRiskTreatmentPrograms25[[#This Row],[Common Security Program]],'Risk Register'!AM:AM,"Manage")</f>
        <v>0</v>
      </c>
      <c r="H15" s="232">
        <f>_xlfn.MAXIFS('Risk Register'!AG:AG,'Risk Register'!O:O,tblRiskTreatmentPrograms25[[#This Row],[Common Security Program]])</f>
        <v>6</v>
      </c>
      <c r="I15" s="232">
        <f>AVERAGEIFS('Risk Register'!AG:AG,'Risk Register'!O:O,tblRiskTreatmentPrograms25[[#This Row],[Common Security Program]])</f>
        <v>4.2</v>
      </c>
      <c r="J15" s="232">
        <f>SUMIFS('Risk Register'!AG:AG,'Risk Register'!O:O,tblRiskTreatmentPrograms25[[#This Row],[Common Security Program]])</f>
        <v>21</v>
      </c>
      <c r="K15" s="232">
        <f>SUMIFS('Risk Register'!AL:AL,'Risk Register'!O:O,tblRiskTreatmentPrograms25[[#This Row],[Common Security Program]])</f>
        <v>21</v>
      </c>
      <c r="L15" s="232">
        <f>_xlfn.MAXIFS('Risk Register'!BA:BA,'Risk Register'!O:O,tblRiskTreatmentPrograms25[[#This Row],[Common Security Program]])</f>
        <v>6</v>
      </c>
      <c r="M15" s="232">
        <f>AVERAGEIFS('Risk Register'!BA:BA,'Risk Register'!O:O,tblRiskTreatmentPrograms25[[#This Row],[Common Security Program]])</f>
        <v>4.2</v>
      </c>
      <c r="N15" s="232">
        <f>SUMIFS('Risk Register'!BA:BA,'Risk Register'!O:O,tblRiskTreatmentPrograms25[[#This Row],[Common Security Program]])</f>
        <v>21</v>
      </c>
      <c r="O15" s="232">
        <f>tblRiskTreatmentPrograms25[[#This Row],[Max]]-tblRiskTreatmentPrograms25[[#This Row],[Tgt Max]]</f>
        <v>0</v>
      </c>
      <c r="P15" s="232">
        <f>tblRiskTreatmentPrograms25[[#This Row],[Avg]]-tblRiskTreatmentPrograms25[[#This Row],[Tgt Avg]]</f>
        <v>0</v>
      </c>
      <c r="Q15" s="232">
        <f>tblRiskTreatmentPrograms25[[#This Row],[Sum]]-tblRiskTreatmentPrograms25[[#This Row],[Tgt Sum]]</f>
        <v>0</v>
      </c>
      <c r="R15" s="232">
        <f>tblRiskTreatmentPrograms25[[#This Row],[Sum]]-tblRiskTreatmentPrograms25[[#This Row],[Sum Cur]]</f>
        <v>0</v>
      </c>
      <c r="S15" s="232">
        <f>tblRiskTreatmentPrograms25[[#This Row],[Sum Cur]]-tblRiskTreatmentPrograms25[[#This Row],[Tgt Sum]]</f>
        <v>0</v>
      </c>
      <c r="T15" s="233" t="str">
        <f>IF(tblRiskTreatmentPrograms25[[#This Row],[Count]]=0,"",tblRiskTreatmentPrograms25[[#This Row],[Risk Red]]/tblRiskTreatmentPrograms25[[#This Row],[Dif Sum]])</f>
        <v/>
      </c>
      <c r="U15" s="33"/>
      <c r="V15" s="33"/>
      <c r="W15" s="33"/>
      <c r="X15" s="33"/>
      <c r="Y15" s="33"/>
      <c r="Z15" s="33"/>
      <c r="AA15" s="33"/>
      <c r="AB15" s="33"/>
      <c r="AC15" s="33"/>
    </row>
    <row r="16" spans="1:29" ht="20.100000000000001" customHeight="1" x14ac:dyDescent="0.45">
      <c r="A16" s="33">
        <v>8</v>
      </c>
      <c r="B16" s="33" t="s">
        <v>15</v>
      </c>
      <c r="C16" s="77" t="s">
        <v>1477</v>
      </c>
      <c r="D16" s="77" t="str" cm="1">
        <f t="array" ref="D16">SUBSTITUTE(_xlfn.TEXTJOIN(CHAR(10),TRUE,IF(('Risk Register'!O:O=tblRiskTreatmentPrograms25[[#This Row],[Common Security Program]])*('Risk Register'!AM:AM="Manage"),'Risk Register'!AP:AP,"")),"" &amp; CHAR(10) &amp; "","" &amp; CHAR(10) &amp; "* ")</f>
        <v/>
      </c>
      <c r="E16" s="231" t="str">
        <f>_xlfn.TEXTJOIN(CHAR(10),TRUE,tblRiskTreatmentPrograms25[[#This Row],[Risk Treatment Program (Delete)]],$D$2,"* "&amp;tblRiskTreatmentPrograms25[[#This Row],[In addition, HALOCK recommends the following safeguards:]])</f>
        <v xml:space="preserve">Establish Organizational Information Security Change Control
Ensure that policies, standards, etc. establish the foundation for Information Security Change Control:
 * establish the Change Control program for the organization including overall process oversight;
 * define Change Control classification(s) to account for organization change needs (emergency, standard, routine, etc.);
 * define Change Control requirements including change classification criteria, compliance obligations, approvals, etc.;
 * define reporting and performance measurement;
 * review, update, and approval of Change Control Program documentation; and
 * communication of Change Control Program policies and processes.
Implement Information Security Change Control
Establish, manage and validate operational activities for Change Control including:
 * follow Change Control procedures based on Change Control classification;
 * reporting of Change Control performance metrics.
In addition, HALOCK recommends the following safeguards:
* </v>
      </c>
      <c r="F16" s="33" t="str" cm="1">
        <f t="array" ref="F16">_xlfn.TEXTJOIN(CHAR(10),TRUE,IF((ProTrak[Common Security Program]=tblRiskTreatmentPrograms25[[#This Row],[Common Security Program]])*(ProTrak[Status]="Completed"),ProTrak[Task],""))</f>
        <v/>
      </c>
      <c r="G16" s="232">
        <f>COUNTIFS('Risk Register'!O:O,tblRiskTreatmentPrograms25[[#This Row],[Common Security Program]],'Risk Register'!AM:AM,"Manage")</f>
        <v>0</v>
      </c>
      <c r="H16" s="232">
        <f>_xlfn.MAXIFS('Risk Register'!AG:AG,'Risk Register'!O:O,tblRiskTreatmentPrograms25[[#This Row],[Common Security Program]])</f>
        <v>0</v>
      </c>
      <c r="I16" s="232" t="e">
        <f>AVERAGEIFS('Risk Register'!AG:AG,'Risk Register'!O:O,tblRiskTreatmentPrograms25[[#This Row],[Common Security Program]])</f>
        <v>#DIV/0!</v>
      </c>
      <c r="J16" s="232">
        <f>SUMIFS('Risk Register'!AG:AG,'Risk Register'!O:O,tblRiskTreatmentPrograms25[[#This Row],[Common Security Program]])</f>
        <v>0</v>
      </c>
      <c r="K16" s="232">
        <f>SUMIFS('Risk Register'!AL:AL,'Risk Register'!O:O,tblRiskTreatmentPrograms25[[#This Row],[Common Security Program]])</f>
        <v>0</v>
      </c>
      <c r="L16" s="232">
        <f>_xlfn.MAXIFS('Risk Register'!BA:BA,'Risk Register'!O:O,tblRiskTreatmentPrograms25[[#This Row],[Common Security Program]])</f>
        <v>0</v>
      </c>
      <c r="M16" s="232" t="e">
        <f>AVERAGEIFS('Risk Register'!BA:BA,'Risk Register'!O:O,tblRiskTreatmentPrograms25[[#This Row],[Common Security Program]])</f>
        <v>#DIV/0!</v>
      </c>
      <c r="N16" s="232">
        <f>SUMIFS('Risk Register'!BA:BA,'Risk Register'!O:O,tblRiskTreatmentPrograms25[[#This Row],[Common Security Program]])</f>
        <v>0</v>
      </c>
      <c r="O16" s="232">
        <f>tblRiskTreatmentPrograms25[[#This Row],[Max]]-tblRiskTreatmentPrograms25[[#This Row],[Tgt Max]]</f>
        <v>0</v>
      </c>
      <c r="P16" s="232" t="e">
        <f>tblRiskTreatmentPrograms25[[#This Row],[Avg]]-tblRiskTreatmentPrograms25[[#This Row],[Tgt Avg]]</f>
        <v>#DIV/0!</v>
      </c>
      <c r="Q16" s="232">
        <f>tblRiskTreatmentPrograms25[[#This Row],[Sum]]-tblRiskTreatmentPrograms25[[#This Row],[Tgt Sum]]</f>
        <v>0</v>
      </c>
      <c r="R16" s="232">
        <f>tblRiskTreatmentPrograms25[[#This Row],[Sum]]-tblRiskTreatmentPrograms25[[#This Row],[Sum Cur]]</f>
        <v>0</v>
      </c>
      <c r="S16" s="232">
        <f>tblRiskTreatmentPrograms25[[#This Row],[Sum Cur]]-tblRiskTreatmentPrograms25[[#This Row],[Tgt Sum]]</f>
        <v>0</v>
      </c>
      <c r="T16" s="233" t="str">
        <f>IF(tblRiskTreatmentPrograms25[[#This Row],[Count]]=0,"",tblRiskTreatmentPrograms25[[#This Row],[Risk Red]]/tblRiskTreatmentPrograms25[[#This Row],[Dif Sum]])</f>
        <v/>
      </c>
      <c r="U16" s="33"/>
      <c r="V16" s="33"/>
      <c r="W16" s="33"/>
      <c r="X16" s="33"/>
      <c r="Y16" s="33"/>
      <c r="Z16" s="33"/>
      <c r="AA16" s="33"/>
      <c r="AB16" s="33"/>
      <c r="AC16" s="33"/>
    </row>
    <row r="17" spans="1:29" ht="20.100000000000001" customHeight="1" x14ac:dyDescent="0.45">
      <c r="A17" s="33">
        <v>10</v>
      </c>
      <c r="B17" s="33" t="s">
        <v>17</v>
      </c>
      <c r="C17" s="77" t="s">
        <v>1479</v>
      </c>
      <c r="D17" s="77" t="str" cm="1">
        <f t="array" ref="D17">SUBSTITUTE(_xlfn.TEXTJOIN(CHAR(10),TRUE,IF(('Risk Register'!O:O=tblRiskTreatmentPrograms25[[#This Row],[Common Security Program]])*('Risk Register'!AM:AM="Manage"),'Risk Register'!AP:AP,"")),"" &amp; CHAR(10) &amp; "","" &amp; CHAR(10) &amp; "* ")</f>
        <v/>
      </c>
      <c r="E17" s="231" t="str">
        <f>_xlfn.TEXTJOIN(CHAR(10),TRUE,tblRiskTreatmentPrograms25[[#This Row],[Risk Treatment Program (Delete)]],$D$2,"* "&amp;tblRiskTreatmentPrograms25[[#This Row],[In addition, HALOCK recommends the following safeguards:]])</f>
        <v xml:space="preserve">Establish Organizational Information Security Asset Management
Ensure that policies, standards, etc. establish the foundation for Information Security Asset Management:
 * establish Asset Management requirements including acceptable use, inventory, tracking, assignment, recovery, etc.;
 * define reporting and performance measurement;
 * review, update, and approval of Asset Management documentation; and
 * communication of Asset Management policies and processes.
Implement Information Security Asset Management
Establish, manage and validate operational activities for Asset Management including:
 * acknowledgement and acceptance of asset acceptable use;
 * management of all critical assets including assignment, location, recovery, etc.;
 * reporting of Asset Management performance metrics.
In addition, HALOCK recommends the following safeguards:
* </v>
      </c>
      <c r="F17" s="33" t="str" cm="1">
        <f t="array" ref="F17">_xlfn.TEXTJOIN(CHAR(10),TRUE,IF((ProTrak[Common Security Program]=tblRiskTreatmentPrograms25[[#This Row],[Common Security Program]])*(ProTrak[Status]="Completed"),ProTrak[Task],""))</f>
        <v/>
      </c>
      <c r="G17" s="232">
        <f>COUNTIFS('Risk Register'!O:O,tblRiskTreatmentPrograms25[[#This Row],[Common Security Program]],'Risk Register'!AM:AM,"Manage")</f>
        <v>0</v>
      </c>
      <c r="H17" s="232">
        <f>_xlfn.MAXIFS('Risk Register'!AG:AG,'Risk Register'!O:O,tblRiskTreatmentPrograms25[[#This Row],[Common Security Program]])</f>
        <v>4</v>
      </c>
      <c r="I17" s="232">
        <f>AVERAGEIFS('Risk Register'!AG:AG,'Risk Register'!O:O,tblRiskTreatmentPrograms25[[#This Row],[Common Security Program]])</f>
        <v>2.25</v>
      </c>
      <c r="J17" s="232">
        <f>SUMIFS('Risk Register'!AG:AG,'Risk Register'!O:O,tblRiskTreatmentPrograms25[[#This Row],[Common Security Program]])</f>
        <v>27</v>
      </c>
      <c r="K17" s="232">
        <f>SUMIFS('Risk Register'!AL:AL,'Risk Register'!O:O,tblRiskTreatmentPrograms25[[#This Row],[Common Security Program]])</f>
        <v>27</v>
      </c>
      <c r="L17" s="232">
        <f>_xlfn.MAXIFS('Risk Register'!BA:BA,'Risk Register'!O:O,tblRiskTreatmentPrograms25[[#This Row],[Common Security Program]])</f>
        <v>4</v>
      </c>
      <c r="M17" s="232">
        <f>AVERAGEIFS('Risk Register'!BA:BA,'Risk Register'!O:O,tblRiskTreatmentPrograms25[[#This Row],[Common Security Program]])</f>
        <v>2.25</v>
      </c>
      <c r="N17" s="232">
        <f>SUMIFS('Risk Register'!BA:BA,'Risk Register'!O:O,tblRiskTreatmentPrograms25[[#This Row],[Common Security Program]])</f>
        <v>27</v>
      </c>
      <c r="O17" s="232">
        <f>tblRiskTreatmentPrograms25[[#This Row],[Max]]-tblRiskTreatmentPrograms25[[#This Row],[Tgt Max]]</f>
        <v>0</v>
      </c>
      <c r="P17" s="232">
        <f>tblRiskTreatmentPrograms25[[#This Row],[Avg]]-tblRiskTreatmentPrograms25[[#This Row],[Tgt Avg]]</f>
        <v>0</v>
      </c>
      <c r="Q17" s="232">
        <f>tblRiskTreatmentPrograms25[[#This Row],[Sum]]-tblRiskTreatmentPrograms25[[#This Row],[Tgt Sum]]</f>
        <v>0</v>
      </c>
      <c r="R17" s="232">
        <f>tblRiskTreatmentPrograms25[[#This Row],[Sum]]-tblRiskTreatmentPrograms25[[#This Row],[Sum Cur]]</f>
        <v>0</v>
      </c>
      <c r="S17" s="232">
        <f>tblRiskTreatmentPrograms25[[#This Row],[Sum Cur]]-tblRiskTreatmentPrograms25[[#This Row],[Tgt Sum]]</f>
        <v>0</v>
      </c>
      <c r="T17" s="233" t="str">
        <f>IF(tblRiskTreatmentPrograms25[[#This Row],[Count]]=0,"",tblRiskTreatmentPrograms25[[#This Row],[Risk Red]]/tblRiskTreatmentPrograms25[[#This Row],[Dif Sum]])</f>
        <v/>
      </c>
      <c r="U17" s="33"/>
      <c r="V17" s="33"/>
      <c r="W17" s="33"/>
      <c r="X17" s="33"/>
      <c r="Y17" s="33"/>
      <c r="Z17" s="33"/>
      <c r="AA17" s="33"/>
      <c r="AB17" s="33"/>
      <c r="AC17" s="33"/>
    </row>
    <row r="18" spans="1:29" ht="20.100000000000001" customHeight="1" x14ac:dyDescent="0.45">
      <c r="A18" s="33">
        <v>11</v>
      </c>
      <c r="B18" s="33" t="s">
        <v>18</v>
      </c>
      <c r="C18" s="77" t="s">
        <v>1480</v>
      </c>
      <c r="D18" s="77" t="str" cm="1">
        <f t="array" ref="D18">SUBSTITUTE(_xlfn.TEXTJOIN(CHAR(10),TRUE,IF(('Risk Register'!O:O=tblRiskTreatmentPrograms25[[#This Row],[Common Security Program]])*('Risk Register'!AM:AM="Manage"),'Risk Register'!AP:AP,"")),"" &amp; CHAR(10) &amp; "","" &amp; CHAR(10) &amp; "* ")</f>
        <v/>
      </c>
      <c r="E18" s="231" t="str">
        <f>_xlfn.TEXTJOIN(CHAR(10),TRUE,tblRiskTreatmentPrograms25[[#This Row],[Risk Treatment Program (Delete)]],$D$2,"* "&amp;tblRiskTreatmentPrograms25[[#This Row],[In addition, HALOCK recommends the following safeguards:]])</f>
        <v xml:space="preserve">Establish Organizational Information Security Access Control
Ensure that policies, standards, etc. establish the foundation for Information Security Access Control:
 * establish access requirements including roles &amp; responsibilities, least privilege, segregation of duties, privileged access, access provisioning/deprovisioning, shared use, etc.;
 * establish authentication requirements including remote access, credential protection, directory integration, multi-factor authentication, etc.;
 * define reporting and performance measurement;
 * review, update, and approval of Access Control documentation; and
 * communication of Access Control policies and processes.
Implement Information Security Access Control
Establish, manage and validate operational activities for Access Control including:
 * periodically review and manage user access;
 * restrict remote access, privileged access, shared use, local authentication;
 * require credential protection, multi-factor authentication;
 * review Access Control periodically to validate access and restrict unauthorized use; and
 * reporting of Access Control performance metrics.
In addition, HALOCK recommends the following safeguards:
* </v>
      </c>
      <c r="F18" s="33" t="str" cm="1">
        <f t="array" ref="F18">_xlfn.TEXTJOIN(CHAR(10),TRUE,IF((ProTrak[Common Security Program]=tblRiskTreatmentPrograms25[[#This Row],[Common Security Program]])*(ProTrak[Status]="Completed"),ProTrak[Task],""))</f>
        <v/>
      </c>
      <c r="G18" s="232">
        <f>COUNTIFS('Risk Register'!O:O,tblRiskTreatmentPrograms25[[#This Row],[Common Security Program]],'Risk Register'!AM:AM,"Manage")</f>
        <v>0</v>
      </c>
      <c r="H18" s="232">
        <f>_xlfn.MAXIFS('Risk Register'!AG:AG,'Risk Register'!O:O,tblRiskTreatmentPrograms25[[#This Row],[Common Security Program]])</f>
        <v>8</v>
      </c>
      <c r="I18" s="232">
        <f>AVERAGEIFS('Risk Register'!AG:AG,'Risk Register'!O:O,tblRiskTreatmentPrograms25[[#This Row],[Common Security Program]])</f>
        <v>5</v>
      </c>
      <c r="J18" s="232">
        <f>SUMIFS('Risk Register'!AG:AG,'Risk Register'!O:O,tblRiskTreatmentPrograms25[[#This Row],[Common Security Program]])</f>
        <v>45</v>
      </c>
      <c r="K18" s="232">
        <f>SUMIFS('Risk Register'!AL:AL,'Risk Register'!O:O,tblRiskTreatmentPrograms25[[#This Row],[Common Security Program]])</f>
        <v>45</v>
      </c>
      <c r="L18" s="232">
        <f>_xlfn.MAXIFS('Risk Register'!BA:BA,'Risk Register'!O:O,tblRiskTreatmentPrograms25[[#This Row],[Common Security Program]])</f>
        <v>8</v>
      </c>
      <c r="M18" s="232">
        <f>AVERAGEIFS('Risk Register'!BA:BA,'Risk Register'!O:O,tblRiskTreatmentPrograms25[[#This Row],[Common Security Program]])</f>
        <v>5</v>
      </c>
      <c r="N18" s="232">
        <f>SUMIFS('Risk Register'!BA:BA,'Risk Register'!O:O,tblRiskTreatmentPrograms25[[#This Row],[Common Security Program]])</f>
        <v>45</v>
      </c>
      <c r="O18" s="232">
        <f>tblRiskTreatmentPrograms25[[#This Row],[Max]]-tblRiskTreatmentPrograms25[[#This Row],[Tgt Max]]</f>
        <v>0</v>
      </c>
      <c r="P18" s="232">
        <f>tblRiskTreatmentPrograms25[[#This Row],[Avg]]-tblRiskTreatmentPrograms25[[#This Row],[Tgt Avg]]</f>
        <v>0</v>
      </c>
      <c r="Q18" s="232">
        <f>tblRiskTreatmentPrograms25[[#This Row],[Sum]]-tblRiskTreatmentPrograms25[[#This Row],[Tgt Sum]]</f>
        <v>0</v>
      </c>
      <c r="R18" s="232">
        <f>tblRiskTreatmentPrograms25[[#This Row],[Sum]]-tblRiskTreatmentPrograms25[[#This Row],[Sum Cur]]</f>
        <v>0</v>
      </c>
      <c r="S18" s="232">
        <f>tblRiskTreatmentPrograms25[[#This Row],[Sum Cur]]-tblRiskTreatmentPrograms25[[#This Row],[Tgt Sum]]</f>
        <v>0</v>
      </c>
      <c r="T18" s="233" t="str">
        <f>IF(tblRiskTreatmentPrograms25[[#This Row],[Count]]=0,"",tblRiskTreatmentPrograms25[[#This Row],[Risk Red]]/tblRiskTreatmentPrograms25[[#This Row],[Dif Sum]])</f>
        <v/>
      </c>
      <c r="U18" s="33"/>
      <c r="V18" s="33"/>
      <c r="W18" s="33"/>
      <c r="X18" s="33"/>
      <c r="Y18" s="33"/>
      <c r="Z18" s="33"/>
      <c r="AA18" s="33"/>
      <c r="AB18" s="33"/>
      <c r="AC18" s="33"/>
    </row>
    <row r="19" spans="1:29" ht="20.100000000000001" customHeight="1" x14ac:dyDescent="0.45">
      <c r="A19" s="33">
        <v>12</v>
      </c>
      <c r="B19" s="33" t="s">
        <v>19</v>
      </c>
      <c r="C19" s="77" t="s">
        <v>1481</v>
      </c>
      <c r="D19" s="77" t="str" cm="1">
        <f t="array" ref="D19">SUBSTITUTE(_xlfn.TEXTJOIN(CHAR(10),TRUE,IF(('Risk Register'!O:O=tblRiskTreatmentPrograms25[[#This Row],[Common Security Program]])*('Risk Register'!AM:AM="Manage"),'Risk Register'!AP:AP,"")),"" &amp; CHAR(10) &amp; "","" &amp; CHAR(10) &amp; "* ")</f>
        <v/>
      </c>
      <c r="E19" s="231" t="str">
        <f>_xlfn.TEXTJOIN(CHAR(10),TRUE,tblRiskTreatmentPrograms25[[#This Row],[Risk Treatment Program (Delete)]],$D$2,"* "&amp;tblRiskTreatmentPrograms25[[#This Row],[In addition, HALOCK recommends the following safeguards:]])</f>
        <v xml:space="preserve">Establish Organizational Information Security Credential Management
Ensure that policies, standards, etc. establish the foundation for Information Security Credential Management:
 * establish user ID requirements including uniqueness, segregation of duties, etc.;
 * establish password requirements including credential protection, multi-factor authentication, etc.;
 * define reporting and performance measurement;
 * review, update, and approval of Credential Management documentation; and
 * communication of Credential Management policies and processes.
Implement Information Security Credential Management
Establish, manage and validate operational activities for Credential Management including:
 * periodically review and manage user IDs;
 * require credential protection, multi-factor authentication; and
 * reporting of Credential Management performance metrics.
In addition, HALOCK recommends the following safeguards:
* </v>
      </c>
      <c r="F19" s="33" t="str" cm="1">
        <f t="array" ref="F19">_xlfn.TEXTJOIN(CHAR(10),TRUE,IF((ProTrak[Common Security Program]=tblRiskTreatmentPrograms25[[#This Row],[Common Security Program]])*(ProTrak[Status]="Completed"),ProTrak[Task],""))</f>
        <v/>
      </c>
      <c r="G19" s="232">
        <f>COUNTIFS('Risk Register'!O:O,tblRiskTreatmentPrograms25[[#This Row],[Common Security Program]],'Risk Register'!AM:AM,"Manage")</f>
        <v>0</v>
      </c>
      <c r="H19" s="232">
        <f>_xlfn.MAXIFS('Risk Register'!AG:AG,'Risk Register'!O:O,tblRiskTreatmentPrograms25[[#This Row],[Common Security Program]])</f>
        <v>6</v>
      </c>
      <c r="I19" s="232">
        <f>AVERAGEIFS('Risk Register'!AG:AG,'Risk Register'!O:O,tblRiskTreatmentPrograms25[[#This Row],[Common Security Program]])</f>
        <v>3.5555555555555554</v>
      </c>
      <c r="J19" s="232">
        <f>SUMIFS('Risk Register'!AG:AG,'Risk Register'!O:O,tblRiskTreatmentPrograms25[[#This Row],[Common Security Program]])</f>
        <v>32</v>
      </c>
      <c r="K19" s="232">
        <f>SUMIFS('Risk Register'!AL:AL,'Risk Register'!O:O,tblRiskTreatmentPrograms25[[#This Row],[Common Security Program]])</f>
        <v>32</v>
      </c>
      <c r="L19" s="232">
        <f>_xlfn.MAXIFS('Risk Register'!BA:BA,'Risk Register'!O:O,tblRiskTreatmentPrograms25[[#This Row],[Common Security Program]])</f>
        <v>6</v>
      </c>
      <c r="M19" s="232">
        <f>AVERAGEIFS('Risk Register'!BA:BA,'Risk Register'!O:O,tblRiskTreatmentPrograms25[[#This Row],[Common Security Program]])</f>
        <v>3.5555555555555554</v>
      </c>
      <c r="N19" s="232">
        <f>SUMIFS('Risk Register'!BA:BA,'Risk Register'!O:O,tblRiskTreatmentPrograms25[[#This Row],[Common Security Program]])</f>
        <v>32</v>
      </c>
      <c r="O19" s="232">
        <f>tblRiskTreatmentPrograms25[[#This Row],[Max]]-tblRiskTreatmentPrograms25[[#This Row],[Tgt Max]]</f>
        <v>0</v>
      </c>
      <c r="P19" s="232">
        <f>tblRiskTreatmentPrograms25[[#This Row],[Avg]]-tblRiskTreatmentPrograms25[[#This Row],[Tgt Avg]]</f>
        <v>0</v>
      </c>
      <c r="Q19" s="232">
        <f>tblRiskTreatmentPrograms25[[#This Row],[Sum]]-tblRiskTreatmentPrograms25[[#This Row],[Tgt Sum]]</f>
        <v>0</v>
      </c>
      <c r="R19" s="232">
        <f>tblRiskTreatmentPrograms25[[#This Row],[Sum]]-tblRiskTreatmentPrograms25[[#This Row],[Sum Cur]]</f>
        <v>0</v>
      </c>
      <c r="S19" s="232">
        <f>tblRiskTreatmentPrograms25[[#This Row],[Sum Cur]]-tblRiskTreatmentPrograms25[[#This Row],[Tgt Sum]]</f>
        <v>0</v>
      </c>
      <c r="T19" s="233" t="str">
        <f>IF(tblRiskTreatmentPrograms25[[#This Row],[Count]]=0,"",tblRiskTreatmentPrograms25[[#This Row],[Risk Red]]/tblRiskTreatmentPrograms25[[#This Row],[Dif Sum]])</f>
        <v/>
      </c>
      <c r="U19" s="33"/>
      <c r="V19" s="33"/>
      <c r="W19" s="33"/>
      <c r="X19" s="33"/>
      <c r="Y19" s="33"/>
      <c r="Z19" s="33"/>
      <c r="AA19" s="33"/>
      <c r="AB19" s="33"/>
      <c r="AC19" s="33"/>
    </row>
    <row r="20" spans="1:29" ht="20.100000000000001" customHeight="1" x14ac:dyDescent="0.45">
      <c r="A20" s="33">
        <v>13</v>
      </c>
      <c r="B20" s="33" t="s">
        <v>20</v>
      </c>
      <c r="C20" s="77" t="s">
        <v>1482</v>
      </c>
      <c r="D20" s="77" t="str" cm="1">
        <f t="array" ref="D20">SUBSTITUTE(_xlfn.TEXTJOIN(CHAR(10),TRUE,IF(('Risk Register'!O:O=tblRiskTreatmentPrograms25[[#This Row],[Common Security Program]])*('Risk Register'!AM:AM="Manage"),'Risk Register'!AP:AP,"")),"" &amp; CHAR(10) &amp; "","" &amp; CHAR(10) &amp; "* ")</f>
        <v/>
      </c>
      <c r="E20" s="231" t="str">
        <f>_xlfn.TEXTJOIN(CHAR(10),TRUE,tblRiskTreatmentPrograms25[[#This Row],[Risk Treatment Program (Delete)]],$D$2,"* "&amp;tblRiskTreatmentPrograms25[[#This Row],[In addition, HALOCK recommends the following safeguards:]])</f>
        <v xml:space="preserve">Establish Organizational Information Security Cryptographic Controls
Ensure that policies, standards, etc. establish the foundation for Information Security Cryptographic Controls:
 * establish Cryptographic Controls requirements including technical configuration and management (procurement, key management, etc.);
 * define reporting and performance measurement;
 * review, update, and approval of Cryptographic Controls documentation; and
 * communication of Cryptographic Controls policies and processes.
Implement Information Security Cryptographic Controls
Establish, manage and validate operational activities for Cryptographic Controls including:
 * ensure use of approved cryptographic ciphers and algorithms;
 * protect cryptographic keys; and
 * reporting of Cryptographic Controls performance metrics.
In addition, HALOCK recommends the following safeguards:
* </v>
      </c>
      <c r="F20" s="33" t="str" cm="1">
        <f t="array" ref="F20">_xlfn.TEXTJOIN(CHAR(10),TRUE,IF((ProTrak[Common Security Program]=tblRiskTreatmentPrograms25[[#This Row],[Common Security Program]])*(ProTrak[Status]="Completed"),ProTrak[Task],""))</f>
        <v/>
      </c>
      <c r="G20" s="232">
        <f>COUNTIFS('Risk Register'!O:O,tblRiskTreatmentPrograms25[[#This Row],[Common Security Program]],'Risk Register'!AM:AM,"Manage")</f>
        <v>0</v>
      </c>
      <c r="H20" s="232">
        <f>_xlfn.MAXIFS('Risk Register'!AG:AG,'Risk Register'!O:O,tblRiskTreatmentPrograms25[[#This Row],[Common Security Program]])</f>
        <v>0</v>
      </c>
      <c r="I20" s="232" t="e">
        <f>AVERAGEIFS('Risk Register'!AG:AG,'Risk Register'!O:O,tblRiskTreatmentPrograms25[[#This Row],[Common Security Program]])</f>
        <v>#DIV/0!</v>
      </c>
      <c r="J20" s="232">
        <f>SUMIFS('Risk Register'!AG:AG,'Risk Register'!O:O,tblRiskTreatmentPrograms25[[#This Row],[Common Security Program]])</f>
        <v>0</v>
      </c>
      <c r="K20" s="232">
        <f>SUMIFS('Risk Register'!AL:AL,'Risk Register'!O:O,tblRiskTreatmentPrograms25[[#This Row],[Common Security Program]])</f>
        <v>0</v>
      </c>
      <c r="L20" s="232">
        <f>_xlfn.MAXIFS('Risk Register'!BA:BA,'Risk Register'!O:O,tblRiskTreatmentPrograms25[[#This Row],[Common Security Program]])</f>
        <v>0</v>
      </c>
      <c r="M20" s="232" t="e">
        <f>AVERAGEIFS('Risk Register'!BA:BA,'Risk Register'!O:O,tblRiskTreatmentPrograms25[[#This Row],[Common Security Program]])</f>
        <v>#DIV/0!</v>
      </c>
      <c r="N20" s="232">
        <f>SUMIFS('Risk Register'!BA:BA,'Risk Register'!O:O,tblRiskTreatmentPrograms25[[#This Row],[Common Security Program]])</f>
        <v>0</v>
      </c>
      <c r="O20" s="232">
        <f>tblRiskTreatmentPrograms25[[#This Row],[Max]]-tblRiskTreatmentPrograms25[[#This Row],[Tgt Max]]</f>
        <v>0</v>
      </c>
      <c r="P20" s="232" t="e">
        <f>tblRiskTreatmentPrograms25[[#This Row],[Avg]]-tblRiskTreatmentPrograms25[[#This Row],[Tgt Avg]]</f>
        <v>#DIV/0!</v>
      </c>
      <c r="Q20" s="232">
        <f>tblRiskTreatmentPrograms25[[#This Row],[Sum]]-tblRiskTreatmentPrograms25[[#This Row],[Tgt Sum]]</f>
        <v>0</v>
      </c>
      <c r="R20" s="232">
        <f>tblRiskTreatmentPrograms25[[#This Row],[Sum]]-tblRiskTreatmentPrograms25[[#This Row],[Sum Cur]]</f>
        <v>0</v>
      </c>
      <c r="S20" s="232">
        <f>tblRiskTreatmentPrograms25[[#This Row],[Sum Cur]]-tblRiskTreatmentPrograms25[[#This Row],[Tgt Sum]]</f>
        <v>0</v>
      </c>
      <c r="T20" s="233" t="str">
        <f>IF(tblRiskTreatmentPrograms25[[#This Row],[Count]]=0,"",tblRiskTreatmentPrograms25[[#This Row],[Risk Red]]/tblRiskTreatmentPrograms25[[#This Row],[Dif Sum]])</f>
        <v/>
      </c>
      <c r="U20" s="33"/>
      <c r="V20" s="33"/>
      <c r="W20" s="33"/>
      <c r="X20" s="33"/>
      <c r="Y20" s="33"/>
      <c r="Z20" s="33"/>
      <c r="AA20" s="33"/>
      <c r="AB20" s="33"/>
      <c r="AC20" s="33"/>
    </row>
    <row r="21" spans="1:29" ht="20.100000000000001" customHeight="1" x14ac:dyDescent="0.45">
      <c r="A21" s="33">
        <v>14</v>
      </c>
      <c r="B21" s="33" t="s">
        <v>21</v>
      </c>
      <c r="C21" s="77" t="s">
        <v>1483</v>
      </c>
      <c r="D21" s="77" t="str" cm="1">
        <f t="array" ref="D21">SUBSTITUTE(_xlfn.TEXTJOIN(CHAR(10),TRUE,IF(('Risk Register'!O:O=tblRiskTreatmentPrograms25[[#This Row],[Common Security Program]])*('Risk Register'!AM:AM="Manage"),'Risk Register'!AP:AP,"")),"" &amp; CHAR(10) &amp; "","" &amp; CHAR(10) &amp; "* ")</f>
        <v>Integrate Qualys, Service Manager, and Proofpoint logs into Artic Wolf to ensure comprehensive log collection and monitoring across all enterprise assets.</v>
      </c>
      <c r="E21" s="231" t="str">
        <f>_xlfn.TEXTJOIN(CHAR(10),TRUE,tblRiskTreatmentPrograms25[[#This Row],[Risk Treatment Program (Delete)]],$D$2,"* "&amp;tblRiskTreatmentPrograms25[[#This Row],[In addition, HALOCK recommends the following safeguards:]])</f>
        <v>Establish Organizational Information Security Logging &amp; Monitoring
Ensure that policies, standards, etc. establish the foundation for Information Security Logging &amp; Monitoring:
 * establish Logging &amp; Monitoring requirements including log data requirements (events, contents, etc.), integrity and protection of log data, and review and notification process;
 * define reporting and performance measurement;
 * review, update, and approval of Logging &amp; Monitoring documentation; and
 * communication of Logging &amp; Monitoring policies and processes.
Implement Information Security Logging &amp; Monitoring
Establish, manage and validate operational activities for Logging &amp; Monitoring including:
 * enable logging;
 * ensure the integrity of log data;
 * protect and retain log data;
 * integrate notification process with vulnerability management and incident response; and
 * reporting of Logging &amp; Monitoring performance metrics.
In addition, HALOCK recommends the following safeguards:
* Integrate Qualys, Service Manager, and Proofpoint logs into Artic Wolf to ensure comprehensive log collection and monitoring across all enterprise assets.</v>
      </c>
      <c r="F21" s="33" t="str" cm="1">
        <f t="array" ref="F21">_xlfn.TEXTJOIN(CHAR(10),TRUE,IF((ProTrak[Common Security Program]=tblRiskTreatmentPrograms25[[#This Row],[Common Security Program]])*(ProTrak[Status]="Completed"),ProTrak[Task],""))</f>
        <v>Integrate Qualys, Service Manager, and Proofpoint logs into Artic Wolf to ensure comprehensive log collection and monitoring across all enterprise assets.</v>
      </c>
      <c r="G21" s="232">
        <f>COUNTIFS('Risk Register'!O:O,tblRiskTreatmentPrograms25[[#This Row],[Common Security Program]],'Risk Register'!AM:AM,"Manage")</f>
        <v>1</v>
      </c>
      <c r="H21" s="232">
        <f>_xlfn.MAXIFS('Risk Register'!AG:AG,'Risk Register'!O:O,tblRiskTreatmentPrograms25[[#This Row],[Common Security Program]])</f>
        <v>12</v>
      </c>
      <c r="I21" s="232">
        <f>AVERAGEIFS('Risk Register'!AG:AG,'Risk Register'!O:O,tblRiskTreatmentPrograms25[[#This Row],[Common Security Program]])</f>
        <v>5.1764705882352944</v>
      </c>
      <c r="J21" s="232">
        <f>SUMIFS('Risk Register'!AG:AG,'Risk Register'!O:O,tblRiskTreatmentPrograms25[[#This Row],[Common Security Program]])</f>
        <v>88</v>
      </c>
      <c r="K21" s="232">
        <f>SUMIFS('Risk Register'!AL:AL,'Risk Register'!O:O,tblRiskTreatmentPrograms25[[#This Row],[Common Security Program]])</f>
        <v>82</v>
      </c>
      <c r="L21" s="232">
        <f>_xlfn.MAXIFS('Risk Register'!BA:BA,'Risk Register'!O:O,tblRiskTreatmentPrograms25[[#This Row],[Common Security Program]])</f>
        <v>8</v>
      </c>
      <c r="M21" s="232">
        <f>AVERAGEIFS('Risk Register'!BA:BA,'Risk Register'!O:O,tblRiskTreatmentPrograms25[[#This Row],[Common Security Program]])</f>
        <v>4.8235294117647056</v>
      </c>
      <c r="N21" s="232">
        <f>SUMIFS('Risk Register'!BA:BA,'Risk Register'!O:O,tblRiskTreatmentPrograms25[[#This Row],[Common Security Program]])</f>
        <v>82</v>
      </c>
      <c r="O21" s="232">
        <f>tblRiskTreatmentPrograms25[[#This Row],[Max]]-tblRiskTreatmentPrograms25[[#This Row],[Tgt Max]]</f>
        <v>4</v>
      </c>
      <c r="P21" s="232">
        <f>tblRiskTreatmentPrograms25[[#This Row],[Avg]]-tblRiskTreatmentPrograms25[[#This Row],[Tgt Avg]]</f>
        <v>0.35294117647058876</v>
      </c>
      <c r="Q21" s="232">
        <f>tblRiskTreatmentPrograms25[[#This Row],[Sum]]-tblRiskTreatmentPrograms25[[#This Row],[Tgt Sum]]</f>
        <v>6</v>
      </c>
      <c r="R21" s="232">
        <f>tblRiskTreatmentPrograms25[[#This Row],[Sum]]-tblRiskTreatmentPrograms25[[#This Row],[Sum Cur]]</f>
        <v>6</v>
      </c>
      <c r="S21" s="232">
        <f>tblRiskTreatmentPrograms25[[#This Row],[Sum Cur]]-tblRiskTreatmentPrograms25[[#This Row],[Tgt Sum]]</f>
        <v>0</v>
      </c>
      <c r="T21" s="233">
        <f>IF(tblRiskTreatmentPrograms25[[#This Row],[Count]]=0,"",tblRiskTreatmentPrograms25[[#This Row],[Risk Red]]/tblRiskTreatmentPrograms25[[#This Row],[Dif Sum]])</f>
        <v>1</v>
      </c>
      <c r="U21" s="33"/>
      <c r="V21" s="33"/>
      <c r="W21" s="33"/>
      <c r="X21" s="33"/>
      <c r="Y21" s="33"/>
      <c r="Z21" s="33"/>
      <c r="AA21" s="33"/>
      <c r="AB21" s="33"/>
      <c r="AC21" s="33"/>
    </row>
    <row r="22" spans="1:29" ht="20.100000000000001" customHeight="1" x14ac:dyDescent="0.45">
      <c r="A22" s="33">
        <v>16</v>
      </c>
      <c r="B22" s="33" t="s">
        <v>23</v>
      </c>
      <c r="C22" s="77" t="s">
        <v>1485</v>
      </c>
      <c r="D22" s="77" t="str" cm="1">
        <f t="array" ref="D22">SUBSTITUTE(_xlfn.TEXTJOIN(CHAR(10),TRUE,IF(('Risk Register'!O:O=tblRiskTreatmentPrograms25[[#This Row],[Common Security Program]])*('Risk Register'!AM:AM="Manage"),'Risk Register'!AP:AP,"")),"" &amp; CHAR(10) &amp; "","" &amp; CHAR(10) &amp; "* ")</f>
        <v/>
      </c>
      <c r="E22" s="231" t="str">
        <f>_xlfn.TEXTJOIN(CHAR(10),TRUE,tblRiskTreatmentPrograms25[[#This Row],[Risk Treatment Program (Delete)]],$D$2,"* "&amp;tblRiskTreatmentPrograms25[[#This Row],[In addition, HALOCK recommends the following safeguards:]])</f>
        <v xml:space="preserve">Establish Organizational Information Security Maintenance
Ensure that policies, standards, etc. establish the foundation for Information Security Maintenance:
 * establish Maintenance requirements including utility tools, equipment support schedules, equipment capacity, etc.;
 * define reporting and performance measurement;
 * review, update, and approval of Maintenance documentation; and
 * communication of Maintenance policies and processes.
Implement Information Security Maintenance
Establish, manage and validate operational activities for Maintenance including:
 * ensure use of approved utility tools;
 * review and update systems, software, hardware, etc. based on support lifecycles and capacity; and
 * reporting of Maintenance performance metrics.
In addition, HALOCK recommends the following safeguards:
* </v>
      </c>
      <c r="F22" s="33" t="str" cm="1">
        <f t="array" ref="F22">_xlfn.TEXTJOIN(CHAR(10),TRUE,IF((ProTrak[Common Security Program]=tblRiskTreatmentPrograms25[[#This Row],[Common Security Program]])*(ProTrak[Status]="Completed"),ProTrak[Task],""))</f>
        <v/>
      </c>
      <c r="G22" s="232">
        <f>COUNTIFS('Risk Register'!O:O,tblRiskTreatmentPrograms25[[#This Row],[Common Security Program]],'Risk Register'!AM:AM,"Manage")</f>
        <v>0</v>
      </c>
      <c r="H22" s="232">
        <f>_xlfn.MAXIFS('Risk Register'!AG:AG,'Risk Register'!O:O,tblRiskTreatmentPrograms25[[#This Row],[Common Security Program]])</f>
        <v>0</v>
      </c>
      <c r="I22" s="232" t="e">
        <f>AVERAGEIFS('Risk Register'!AG:AG,'Risk Register'!O:O,tblRiskTreatmentPrograms25[[#This Row],[Common Security Program]])</f>
        <v>#DIV/0!</v>
      </c>
      <c r="J22" s="232">
        <f>SUMIFS('Risk Register'!AG:AG,'Risk Register'!O:O,tblRiskTreatmentPrograms25[[#This Row],[Common Security Program]])</f>
        <v>0</v>
      </c>
      <c r="K22" s="232">
        <f>SUMIFS('Risk Register'!AL:AL,'Risk Register'!O:O,tblRiskTreatmentPrograms25[[#This Row],[Common Security Program]])</f>
        <v>0</v>
      </c>
      <c r="L22" s="232">
        <f>_xlfn.MAXIFS('Risk Register'!BA:BA,'Risk Register'!O:O,tblRiskTreatmentPrograms25[[#This Row],[Common Security Program]])</f>
        <v>0</v>
      </c>
      <c r="M22" s="232" t="e">
        <f>AVERAGEIFS('Risk Register'!BA:BA,'Risk Register'!O:O,tblRiskTreatmentPrograms25[[#This Row],[Common Security Program]])</f>
        <v>#DIV/0!</v>
      </c>
      <c r="N22" s="232">
        <f>SUMIFS('Risk Register'!BA:BA,'Risk Register'!O:O,tblRiskTreatmentPrograms25[[#This Row],[Common Security Program]])</f>
        <v>0</v>
      </c>
      <c r="O22" s="232">
        <f>tblRiskTreatmentPrograms25[[#This Row],[Max]]-tblRiskTreatmentPrograms25[[#This Row],[Tgt Max]]</f>
        <v>0</v>
      </c>
      <c r="P22" s="232" t="e">
        <f>tblRiskTreatmentPrograms25[[#This Row],[Avg]]-tblRiskTreatmentPrograms25[[#This Row],[Tgt Avg]]</f>
        <v>#DIV/0!</v>
      </c>
      <c r="Q22" s="232">
        <f>tblRiskTreatmentPrograms25[[#This Row],[Sum]]-tblRiskTreatmentPrograms25[[#This Row],[Tgt Sum]]</f>
        <v>0</v>
      </c>
      <c r="R22" s="232">
        <f>tblRiskTreatmentPrograms25[[#This Row],[Sum]]-tblRiskTreatmentPrograms25[[#This Row],[Sum Cur]]</f>
        <v>0</v>
      </c>
      <c r="S22" s="232">
        <f>tblRiskTreatmentPrograms25[[#This Row],[Sum Cur]]-tblRiskTreatmentPrograms25[[#This Row],[Tgt Sum]]</f>
        <v>0</v>
      </c>
      <c r="T22" s="233" t="str">
        <f>IF(tblRiskTreatmentPrograms25[[#This Row],[Count]]=0,"",tblRiskTreatmentPrograms25[[#This Row],[Risk Red]]/tblRiskTreatmentPrograms25[[#This Row],[Dif Sum]])</f>
        <v/>
      </c>
      <c r="U22" s="33"/>
      <c r="V22" s="33"/>
      <c r="W22" s="33"/>
      <c r="X22" s="33"/>
      <c r="Y22" s="33"/>
      <c r="Z22" s="33"/>
      <c r="AA22" s="33"/>
      <c r="AB22" s="33"/>
      <c r="AC22" s="33"/>
    </row>
    <row r="23" spans="1:29" ht="20.100000000000001" customHeight="1" x14ac:dyDescent="0.45">
      <c r="A23" s="33">
        <v>18</v>
      </c>
      <c r="B23" s="33" t="s">
        <v>654</v>
      </c>
      <c r="C23" s="77" t="s">
        <v>1487</v>
      </c>
      <c r="D23" s="77" t="str" cm="1">
        <f t="array" ref="D23">SUBSTITUTE(_xlfn.TEXTJOIN(CHAR(10),TRUE,IF(('Risk Register'!O:O=tblRiskTreatmentPrograms25[[#This Row],[Common Security Program]])*('Risk Register'!AM:AM="Manage"),'Risk Register'!AP:AP,"")),"" &amp; CHAR(10) &amp; "","" &amp; CHAR(10) &amp; "* ")</f>
        <v/>
      </c>
      <c r="E23" s="231" t="str">
        <f>_xlfn.TEXTJOIN(CHAR(10),TRUE,tblRiskTreatmentPrograms25[[#This Row],[Risk Treatment Program (Delete)]],$D$2,"* "&amp;tblRiskTreatmentPrograms25[[#This Row],[In addition, HALOCK recommends the following safeguards:]])</f>
        <v xml:space="preserve">Establish Organizational Information Security Network Device Management
Ensure that policies, standards, etc. establish the foundation for Information Security Network Device Management:
 * establish Network Device Management requirements including hardening guides, device requirements, vendor recommendations, etc.;
 * define reporting and performance measurement;
 * review, update, and approval of Network Device Management documentation; and
 * communication of Network Device Management policies and processes.
Implement Information Security Network Device Management
Establish, manage and validate operational activities for Network Device Management including:
 * ensure hardening/protection of systems based on internal and vendor guidance;
 * reporting of Network Device Management performance metrics.
In addition, HALOCK recommends the following safeguards:
* </v>
      </c>
      <c r="F23" s="33" t="str" cm="1">
        <f t="array" ref="F23">_xlfn.TEXTJOIN(CHAR(10),TRUE,IF((ProTrak[Common Security Program]=tblRiskTreatmentPrograms25[[#This Row],[Common Security Program]])*(ProTrak[Status]="Completed"),ProTrak[Task],""))</f>
        <v/>
      </c>
      <c r="G23" s="232">
        <f>COUNTIFS('Risk Register'!O:O,tblRiskTreatmentPrograms25[[#This Row],[Common Security Program]],'Risk Register'!AM:AM,"Manage")</f>
        <v>0</v>
      </c>
      <c r="H23" s="232">
        <f>_xlfn.MAXIFS('Risk Register'!AG:AG,'Risk Register'!O:O,tblRiskTreatmentPrograms25[[#This Row],[Common Security Program]])</f>
        <v>8</v>
      </c>
      <c r="I23" s="232">
        <f>AVERAGEIFS('Risk Register'!AG:AG,'Risk Register'!O:O,tblRiskTreatmentPrograms25[[#This Row],[Common Security Program]])</f>
        <v>6.666666666666667</v>
      </c>
      <c r="J23" s="232">
        <f>SUMIFS('Risk Register'!AG:AG,'Risk Register'!O:O,tblRiskTreatmentPrograms25[[#This Row],[Common Security Program]])</f>
        <v>40</v>
      </c>
      <c r="K23" s="232">
        <f>SUMIFS('Risk Register'!AL:AL,'Risk Register'!O:O,tblRiskTreatmentPrograms25[[#This Row],[Common Security Program]])</f>
        <v>40</v>
      </c>
      <c r="L23" s="232">
        <f>_xlfn.MAXIFS('Risk Register'!BA:BA,'Risk Register'!O:O,tblRiskTreatmentPrograms25[[#This Row],[Common Security Program]])</f>
        <v>8</v>
      </c>
      <c r="M23" s="232">
        <f>AVERAGEIFS('Risk Register'!BA:BA,'Risk Register'!O:O,tblRiskTreatmentPrograms25[[#This Row],[Common Security Program]])</f>
        <v>6.666666666666667</v>
      </c>
      <c r="N23" s="232">
        <f>SUMIFS('Risk Register'!BA:BA,'Risk Register'!O:O,tblRiskTreatmentPrograms25[[#This Row],[Common Security Program]])</f>
        <v>40</v>
      </c>
      <c r="O23" s="232">
        <f>tblRiskTreatmentPrograms25[[#This Row],[Max]]-tblRiskTreatmentPrograms25[[#This Row],[Tgt Max]]</f>
        <v>0</v>
      </c>
      <c r="P23" s="232">
        <f>tblRiskTreatmentPrograms25[[#This Row],[Avg]]-tblRiskTreatmentPrograms25[[#This Row],[Tgt Avg]]</f>
        <v>0</v>
      </c>
      <c r="Q23" s="232">
        <f>tblRiskTreatmentPrograms25[[#This Row],[Sum]]-tblRiskTreatmentPrograms25[[#This Row],[Tgt Sum]]</f>
        <v>0</v>
      </c>
      <c r="R23" s="232">
        <f>tblRiskTreatmentPrograms25[[#This Row],[Sum]]-tblRiskTreatmentPrograms25[[#This Row],[Sum Cur]]</f>
        <v>0</v>
      </c>
      <c r="S23" s="232">
        <f>tblRiskTreatmentPrograms25[[#This Row],[Sum Cur]]-tblRiskTreatmentPrograms25[[#This Row],[Tgt Sum]]</f>
        <v>0</v>
      </c>
      <c r="T23" s="233" t="str">
        <f>IF(tblRiskTreatmentPrograms25[[#This Row],[Count]]=0,"",tblRiskTreatmentPrograms25[[#This Row],[Risk Red]]/tblRiskTreatmentPrograms25[[#This Row],[Dif Sum]])</f>
        <v/>
      </c>
      <c r="U23" s="33"/>
      <c r="V23" s="33"/>
      <c r="W23" s="33"/>
      <c r="X23" s="33"/>
      <c r="Y23" s="33"/>
      <c r="Z23" s="33"/>
      <c r="AA23" s="33"/>
      <c r="AB23" s="33"/>
      <c r="AC23" s="33"/>
    </row>
    <row r="24" spans="1:29" ht="20.100000000000001" customHeight="1" x14ac:dyDescent="0.45">
      <c r="A24" s="33">
        <v>21</v>
      </c>
      <c r="B24" s="33" t="s">
        <v>25</v>
      </c>
      <c r="C24" s="77" t="s">
        <v>1490</v>
      </c>
      <c r="D24" s="77" t="str" cm="1">
        <f t="array" ref="D24">SUBSTITUTE(_xlfn.TEXTJOIN(CHAR(10),TRUE,IF(('Risk Register'!O:O=tblRiskTreatmentPrograms25[[#This Row],[Common Security Program]])*('Risk Register'!AM:AM="Manage"),'Risk Register'!AP:AP,"")),"" &amp; CHAR(10) &amp; "","" &amp; CHAR(10) &amp; "* ")</f>
        <v/>
      </c>
      <c r="E24" s="231" t="str">
        <f>_xlfn.TEXTJOIN(CHAR(10),TRUE,tblRiskTreatmentPrograms25[[#This Row],[Risk Treatment Program (Delete)]],$D$2,"* "&amp;tblRiskTreatmentPrograms25[[#This Row],[In addition, HALOCK recommends the following safeguards:]])</f>
        <v xml:space="preserve">Establish Organizational Information Security Security Awareness
Ensure that policies, standards, etc. establish the foundation for Information Security Awareness:
 * establish Security Awareness requirements including initial and periodic training, etc.;
 * define reporting and performance measurement;
 * review, update, and approval of Applications documentation; and
 * communication of Applications policies and processes.
Implement Information Security Security Awareness
Establish, manage and validate operational activities for Security Awareness including:
 * require Security Awareness training;
 * ensure secure configuration of systems based on internal and vendor guidance;
 * reporting of Security Awareness performance metrics.
In addition, HALOCK recommends the following safeguards:
* </v>
      </c>
      <c r="F24" s="33" t="str" cm="1">
        <f t="array" ref="F24">_xlfn.TEXTJOIN(CHAR(10),TRUE,IF((ProTrak[Common Security Program]=tblRiskTreatmentPrograms25[[#This Row],[Common Security Program]])*(ProTrak[Status]="Completed"),ProTrak[Task],""))</f>
        <v/>
      </c>
      <c r="G24" s="232">
        <f>COUNTIFS('Risk Register'!O:O,tblRiskTreatmentPrograms25[[#This Row],[Common Security Program]],'Risk Register'!AM:AM,"Manage")</f>
        <v>0</v>
      </c>
      <c r="H24" s="232">
        <f>_xlfn.MAXIFS('Risk Register'!AG:AG,'Risk Register'!O:O,tblRiskTreatmentPrograms25[[#This Row],[Common Security Program]])</f>
        <v>6</v>
      </c>
      <c r="I24" s="232">
        <f>AVERAGEIFS('Risk Register'!AG:AG,'Risk Register'!O:O,tblRiskTreatmentPrograms25[[#This Row],[Common Security Program]])</f>
        <v>4</v>
      </c>
      <c r="J24" s="232">
        <f>SUMIFS('Risk Register'!AG:AG,'Risk Register'!O:O,tblRiskTreatmentPrograms25[[#This Row],[Common Security Program]])</f>
        <v>36</v>
      </c>
      <c r="K24" s="232">
        <f>SUMIFS('Risk Register'!AL:AL,'Risk Register'!O:O,tblRiskTreatmentPrograms25[[#This Row],[Common Security Program]])</f>
        <v>36</v>
      </c>
      <c r="L24" s="232">
        <f>_xlfn.MAXIFS('Risk Register'!BA:BA,'Risk Register'!O:O,tblRiskTreatmentPrograms25[[#This Row],[Common Security Program]])</f>
        <v>6</v>
      </c>
      <c r="M24" s="232">
        <f>AVERAGEIFS('Risk Register'!BA:BA,'Risk Register'!O:O,tblRiskTreatmentPrograms25[[#This Row],[Common Security Program]])</f>
        <v>4</v>
      </c>
      <c r="N24" s="232">
        <f>SUMIFS('Risk Register'!BA:BA,'Risk Register'!O:O,tblRiskTreatmentPrograms25[[#This Row],[Common Security Program]])</f>
        <v>36</v>
      </c>
      <c r="O24" s="232">
        <f>tblRiskTreatmentPrograms25[[#This Row],[Max]]-tblRiskTreatmentPrograms25[[#This Row],[Tgt Max]]</f>
        <v>0</v>
      </c>
      <c r="P24" s="232">
        <f>tblRiskTreatmentPrograms25[[#This Row],[Avg]]-tblRiskTreatmentPrograms25[[#This Row],[Tgt Avg]]</f>
        <v>0</v>
      </c>
      <c r="Q24" s="232">
        <f>tblRiskTreatmentPrograms25[[#This Row],[Sum]]-tblRiskTreatmentPrograms25[[#This Row],[Tgt Sum]]</f>
        <v>0</v>
      </c>
      <c r="R24" s="232">
        <f>tblRiskTreatmentPrograms25[[#This Row],[Sum]]-tblRiskTreatmentPrograms25[[#This Row],[Sum Cur]]</f>
        <v>0</v>
      </c>
      <c r="S24" s="232">
        <f>tblRiskTreatmentPrograms25[[#This Row],[Sum Cur]]-tblRiskTreatmentPrograms25[[#This Row],[Tgt Sum]]</f>
        <v>0</v>
      </c>
      <c r="T24" s="233" t="str">
        <f>IF(tblRiskTreatmentPrograms25[[#This Row],[Count]]=0,"",tblRiskTreatmentPrograms25[[#This Row],[Risk Red]]/tblRiskTreatmentPrograms25[[#This Row],[Dif Sum]])</f>
        <v/>
      </c>
      <c r="U24" s="33"/>
      <c r="V24" s="33"/>
      <c r="W24" s="33"/>
      <c r="X24" s="33"/>
      <c r="Y24" s="33"/>
      <c r="Z24" s="33"/>
      <c r="AA24" s="33"/>
      <c r="AB24" s="33"/>
      <c r="AC24" s="33"/>
    </row>
    <row r="25" spans="1:29" ht="20.100000000000001" customHeight="1" x14ac:dyDescent="0.45">
      <c r="A25" s="33">
        <v>22</v>
      </c>
      <c r="B25" s="33" t="s">
        <v>26</v>
      </c>
      <c r="C25" s="77" t="s">
        <v>1491</v>
      </c>
      <c r="D25" s="77" t="str" cm="1">
        <f t="array" ref="D25">SUBSTITUTE(_xlfn.TEXTJOIN(CHAR(10),TRUE,IF(('Risk Register'!O:O=tblRiskTreatmentPrograms25[[#This Row],[Common Security Program]])*('Risk Register'!AM:AM="Manage"),'Risk Register'!AP:AP,"")),"" &amp; CHAR(10) &amp; "","" &amp; CHAR(10) &amp; "* ")</f>
        <v/>
      </c>
      <c r="E25" s="231" t="str">
        <f>_xlfn.TEXTJOIN(CHAR(10),TRUE,tblRiskTreatmentPrograms25[[#This Row],[Risk Treatment Program (Delete)]],$D$2,"* "&amp;tblRiskTreatmentPrograms25[[#This Row],[In addition, HALOCK recommends the following safeguards:]])</f>
        <v xml:space="preserve">Establish Organizational Information Security HR Security
Ensure that policies, standards, etc. establish the foundation for HR Security:
 * establish HR Security requirements including resource risk assessment, screening, disciplinary process, etc.;
 * define reporting and performance measurement;
 * review, update, and approval of Applications documentation; and
 * communication of HR Security policies and processes.
Implement Information Security HR Security
Establish, manage and validate operational activities for HR Security including:
 * require resource screening and risk assessment;
 * define the resource disciplinary process;
 * reporting of HR Security performance metrics.
In addition, HALOCK recommends the following safeguards:
* </v>
      </c>
      <c r="F25" s="33" t="str" cm="1">
        <f t="array" ref="F25">_xlfn.TEXTJOIN(CHAR(10),TRUE,IF((ProTrak[Common Security Program]=tblRiskTreatmentPrograms25[[#This Row],[Common Security Program]])*(ProTrak[Status]="Completed"),ProTrak[Task],""))</f>
        <v/>
      </c>
      <c r="G25" s="232">
        <f>COUNTIFS('Risk Register'!O:O,tblRiskTreatmentPrograms25[[#This Row],[Common Security Program]],'Risk Register'!AM:AM,"Manage")</f>
        <v>0</v>
      </c>
      <c r="H25" s="232">
        <f>_xlfn.MAXIFS('Risk Register'!AG:AG,'Risk Register'!O:O,tblRiskTreatmentPrograms25[[#This Row],[Common Security Program]])</f>
        <v>0</v>
      </c>
      <c r="I25" s="232" t="e">
        <f>AVERAGEIFS('Risk Register'!AG:AG,'Risk Register'!O:O,tblRiskTreatmentPrograms25[[#This Row],[Common Security Program]])</f>
        <v>#DIV/0!</v>
      </c>
      <c r="J25" s="232">
        <f>SUMIFS('Risk Register'!AG:AG,'Risk Register'!O:O,tblRiskTreatmentPrograms25[[#This Row],[Common Security Program]])</f>
        <v>0</v>
      </c>
      <c r="K25" s="232">
        <f>SUMIFS('Risk Register'!AL:AL,'Risk Register'!O:O,tblRiskTreatmentPrograms25[[#This Row],[Common Security Program]])</f>
        <v>0</v>
      </c>
      <c r="L25" s="232">
        <f>_xlfn.MAXIFS('Risk Register'!BA:BA,'Risk Register'!O:O,tblRiskTreatmentPrograms25[[#This Row],[Common Security Program]])</f>
        <v>0</v>
      </c>
      <c r="M25" s="232" t="e">
        <f>AVERAGEIFS('Risk Register'!BA:BA,'Risk Register'!O:O,tblRiskTreatmentPrograms25[[#This Row],[Common Security Program]])</f>
        <v>#DIV/0!</v>
      </c>
      <c r="N25" s="232">
        <f>SUMIFS('Risk Register'!BA:BA,'Risk Register'!O:O,tblRiskTreatmentPrograms25[[#This Row],[Common Security Program]])</f>
        <v>0</v>
      </c>
      <c r="O25" s="232">
        <f>tblRiskTreatmentPrograms25[[#This Row],[Max]]-tblRiskTreatmentPrograms25[[#This Row],[Tgt Max]]</f>
        <v>0</v>
      </c>
      <c r="P25" s="232" t="e">
        <f>tblRiskTreatmentPrograms25[[#This Row],[Avg]]-tblRiskTreatmentPrograms25[[#This Row],[Tgt Avg]]</f>
        <v>#DIV/0!</v>
      </c>
      <c r="Q25" s="232">
        <f>tblRiskTreatmentPrograms25[[#This Row],[Sum]]-tblRiskTreatmentPrograms25[[#This Row],[Tgt Sum]]</f>
        <v>0</v>
      </c>
      <c r="R25" s="232">
        <f>tblRiskTreatmentPrograms25[[#This Row],[Sum]]-tblRiskTreatmentPrograms25[[#This Row],[Sum Cur]]</f>
        <v>0</v>
      </c>
      <c r="S25" s="232">
        <f>tblRiskTreatmentPrograms25[[#This Row],[Sum Cur]]-tblRiskTreatmentPrograms25[[#This Row],[Tgt Sum]]</f>
        <v>0</v>
      </c>
      <c r="T25" s="233" t="str">
        <f>IF(tblRiskTreatmentPrograms25[[#This Row],[Count]]=0,"",tblRiskTreatmentPrograms25[[#This Row],[Risk Red]]/tblRiskTreatmentPrograms25[[#This Row],[Dif Sum]])</f>
        <v/>
      </c>
      <c r="U25" s="33"/>
      <c r="V25" s="33"/>
      <c r="W25" s="33"/>
      <c r="X25" s="33"/>
      <c r="Y25" s="33"/>
      <c r="Z25" s="33"/>
      <c r="AA25" s="33"/>
      <c r="AB25" s="33"/>
      <c r="AC25" s="33"/>
    </row>
    <row r="26" spans="1:29" ht="20.100000000000001" customHeight="1" x14ac:dyDescent="0.45">
      <c r="A26" s="33">
        <v>23</v>
      </c>
      <c r="B26" s="33" t="s">
        <v>27</v>
      </c>
      <c r="C26" s="77" t="s">
        <v>1492</v>
      </c>
      <c r="D26" s="77" t="str" cm="1">
        <f t="array" ref="D26">SUBSTITUTE(_xlfn.TEXTJOIN(CHAR(10),TRUE,IF(('Risk Register'!O:O=tblRiskTreatmentPrograms25[[#This Row],[Common Security Program]])*('Risk Register'!AM:AM="Manage"),'Risk Register'!AP:AP,"")),"" &amp; CHAR(10) &amp; "","" &amp; CHAR(10) &amp; "* ")</f>
        <v/>
      </c>
      <c r="E26" s="231" t="str">
        <f>_xlfn.TEXTJOIN(CHAR(10),TRUE,tblRiskTreatmentPrograms25[[#This Row],[Risk Treatment Program (Delete)]],$D$2,"* "&amp;tblRiskTreatmentPrograms25[[#This Row],[In addition, HALOCK recommends the following safeguards:]])</f>
        <v xml:space="preserve">Establish Organizational Information Security Physical Security
Ensure that policies, standards, etc. establish the foundation for Physical Security:
 * establish Physical Security requirements including perimeter and entry controls, secure locations, environmental threats, delivery/loading areas, utilities, cabling, secure work areas, etc.;
 * define reporting and performance measurement;
 * review, update, and approval of Physical Security documentation; and
 * communication of Physical Security policies and processes.
Implement Information Security Physical Security
Establish, manage and validate operational activities for Physical Security including:
 * ensure secure boundaries and controls for secure/sensitive locations, including delivery/loading areas, perimeter doors &amp; windows, etc.;
 * provide protection for utilities, cabling, etc.
 * restrict access to secure work areas, provide controls and guidance for working in sensitive areas;
 * reporting of Physical Security performance metrics.
In addition, HALOCK recommends the following safeguards:
* </v>
      </c>
      <c r="F26" s="33" t="str" cm="1">
        <f t="array" ref="F26">_xlfn.TEXTJOIN(CHAR(10),TRUE,IF((ProTrak[Common Security Program]=tblRiskTreatmentPrograms25[[#This Row],[Common Security Program]])*(ProTrak[Status]="Completed"),ProTrak[Task],""))</f>
        <v/>
      </c>
      <c r="G26" s="232">
        <f>COUNTIFS('Risk Register'!O:O,tblRiskTreatmentPrograms25[[#This Row],[Common Security Program]],'Risk Register'!AM:AM,"Manage")</f>
        <v>0</v>
      </c>
      <c r="H26" s="232">
        <f>_xlfn.MAXIFS('Risk Register'!AG:AG,'Risk Register'!O:O,tblRiskTreatmentPrograms25[[#This Row],[Common Security Program]])</f>
        <v>0</v>
      </c>
      <c r="I26" s="232" t="e">
        <f>AVERAGEIFS('Risk Register'!AG:AG,'Risk Register'!O:O,tblRiskTreatmentPrograms25[[#This Row],[Common Security Program]])</f>
        <v>#DIV/0!</v>
      </c>
      <c r="J26" s="232">
        <f>SUMIFS('Risk Register'!AG:AG,'Risk Register'!O:O,tblRiskTreatmentPrograms25[[#This Row],[Common Security Program]])</f>
        <v>0</v>
      </c>
      <c r="K26" s="232">
        <f>SUMIFS('Risk Register'!AL:AL,'Risk Register'!O:O,tblRiskTreatmentPrograms25[[#This Row],[Common Security Program]])</f>
        <v>0</v>
      </c>
      <c r="L26" s="232">
        <f>_xlfn.MAXIFS('Risk Register'!BA:BA,'Risk Register'!O:O,tblRiskTreatmentPrograms25[[#This Row],[Common Security Program]])</f>
        <v>0</v>
      </c>
      <c r="M26" s="232" t="e">
        <f>AVERAGEIFS('Risk Register'!BA:BA,'Risk Register'!O:O,tblRiskTreatmentPrograms25[[#This Row],[Common Security Program]])</f>
        <v>#DIV/0!</v>
      </c>
      <c r="N26" s="232">
        <f>SUMIFS('Risk Register'!BA:BA,'Risk Register'!O:O,tblRiskTreatmentPrograms25[[#This Row],[Common Security Program]])</f>
        <v>0</v>
      </c>
      <c r="O26" s="232">
        <f>tblRiskTreatmentPrograms25[[#This Row],[Max]]-tblRiskTreatmentPrograms25[[#This Row],[Tgt Max]]</f>
        <v>0</v>
      </c>
      <c r="P26" s="232" t="e">
        <f>tblRiskTreatmentPrograms25[[#This Row],[Avg]]-tblRiskTreatmentPrograms25[[#This Row],[Tgt Avg]]</f>
        <v>#DIV/0!</v>
      </c>
      <c r="Q26" s="232">
        <f>tblRiskTreatmentPrograms25[[#This Row],[Sum]]-tblRiskTreatmentPrograms25[[#This Row],[Tgt Sum]]</f>
        <v>0</v>
      </c>
      <c r="R26" s="232">
        <f>tblRiskTreatmentPrograms25[[#This Row],[Sum]]-tblRiskTreatmentPrograms25[[#This Row],[Sum Cur]]</f>
        <v>0</v>
      </c>
      <c r="S26" s="232">
        <f>tblRiskTreatmentPrograms25[[#This Row],[Sum Cur]]-tblRiskTreatmentPrograms25[[#This Row],[Tgt Sum]]</f>
        <v>0</v>
      </c>
      <c r="T26" s="233" t="str">
        <f>IF(tblRiskTreatmentPrograms25[[#This Row],[Count]]=0,"",tblRiskTreatmentPrograms25[[#This Row],[Risk Red]]/tblRiskTreatmentPrograms25[[#This Row],[Dif Sum]])</f>
        <v/>
      </c>
      <c r="U26" s="33"/>
      <c r="V26" s="33"/>
      <c r="W26" s="33"/>
      <c r="X26" s="33"/>
      <c r="Y26" s="33"/>
      <c r="Z26" s="33"/>
      <c r="AA26" s="33"/>
      <c r="AB26" s="33"/>
      <c r="AC26" s="33"/>
    </row>
  </sheetData>
  <pageMargins left="0.7" right="0.7" top="0.75" bottom="0.75" header="0.3" footer="0.3"/>
  <pageSetup orientation="portrait" r:id="rId1"/>
  <legacy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4" tint="0.39997558519241921"/>
  </sheetPr>
  <dimension ref="B2:Y51"/>
  <sheetViews>
    <sheetView topLeftCell="H1" zoomScale="118" zoomScaleNormal="130" workbookViewId="0">
      <selection activeCell="D6" sqref="D6"/>
    </sheetView>
  </sheetViews>
  <sheetFormatPr defaultRowHeight="14.25" outlineLevelCol="1" x14ac:dyDescent="0.45"/>
  <cols>
    <col min="2" max="4" width="25.86328125" customWidth="1" outlineLevel="1"/>
    <col min="5" max="5" width="32.86328125" customWidth="1" outlineLevel="1" collapsed="1"/>
    <col min="6" max="6" width="28.1328125" customWidth="1"/>
    <col min="7" max="8" width="69.1328125" customWidth="1"/>
    <col min="9" max="21" width="8.86328125" customWidth="1" outlineLevel="1"/>
    <col min="22" max="22" width="9.59765625" customWidth="1" outlineLevel="1"/>
    <col min="23" max="23" width="32.86328125" customWidth="1"/>
    <col min="24" max="24" width="35" customWidth="1"/>
    <col min="25" max="25" width="32.73046875" customWidth="1"/>
    <col min="26" max="26" width="14.265625" customWidth="1"/>
  </cols>
  <sheetData>
    <row r="2" spans="2:25" ht="28.5" x14ac:dyDescent="0.45">
      <c r="B2" s="38" t="s">
        <v>38</v>
      </c>
      <c r="C2" s="38" t="s">
        <v>39</v>
      </c>
      <c r="D2" s="38" t="s">
        <v>1057</v>
      </c>
      <c r="E2" s="38" t="s">
        <v>156</v>
      </c>
      <c r="F2" s="38" t="s">
        <v>74</v>
      </c>
      <c r="G2" s="38" t="s">
        <v>75</v>
      </c>
      <c r="H2" s="38" t="s">
        <v>790</v>
      </c>
      <c r="I2" s="38" t="s">
        <v>157</v>
      </c>
      <c r="J2" s="38" t="s">
        <v>894</v>
      </c>
      <c r="K2" s="38" t="s">
        <v>158</v>
      </c>
      <c r="L2" s="38" t="s">
        <v>159</v>
      </c>
      <c r="M2" s="38" t="s">
        <v>639</v>
      </c>
      <c r="N2" s="38" t="s">
        <v>640</v>
      </c>
      <c r="O2" s="38" t="s">
        <v>895</v>
      </c>
      <c r="P2" s="38" t="s">
        <v>641</v>
      </c>
      <c r="Q2" s="38" t="s">
        <v>642</v>
      </c>
      <c r="R2" s="38" t="s">
        <v>643</v>
      </c>
      <c r="S2" s="38" t="s">
        <v>896</v>
      </c>
      <c r="T2" s="38" t="s">
        <v>644</v>
      </c>
      <c r="U2" s="38" t="s">
        <v>645</v>
      </c>
      <c r="V2" s="38" t="s">
        <v>646</v>
      </c>
      <c r="W2" s="39" t="s">
        <v>848</v>
      </c>
      <c r="X2" s="39" t="s">
        <v>861</v>
      </c>
      <c r="Y2" s="39" t="s">
        <v>862</v>
      </c>
    </row>
    <row r="3" spans="2:25" ht="156.75" x14ac:dyDescent="0.45">
      <c r="B3" s="33" t="s">
        <v>8</v>
      </c>
      <c r="C3" s="33" t="s">
        <v>86</v>
      </c>
      <c r="D3" s="33"/>
      <c r="E3" s="33" t="str">
        <f>tblRiskTreatmentPrograms[[#This Row],[Common Security Program]]&amp;tblRiskTreatmentPrograms[[#This Row],[Common Security Control]]&amp;tblRiskTreatmentPrograms[[#This Row],[Asset Designation]]</f>
        <v>InfoSec OrganizationGovernance</v>
      </c>
      <c r="F3" s="33" t="s">
        <v>160</v>
      </c>
      <c r="G3" s="33" t="s">
        <v>656</v>
      </c>
      <c r="H3" s="33"/>
      <c r="I3" s="33">
        <f>COUNTIFS(tblRisk[Lookup],tblRiskTreatmentPrograms[[#This Row],[Lookup]])</f>
        <v>0</v>
      </c>
      <c r="J3" s="33" t="e">
        <f>AVERAGEIFS(tblRisk[Control Maturity],tblRisk[Lookup],tblRiskTreatmentPrograms[[#This Row],[Lookup]])</f>
        <v>#DIV/0!</v>
      </c>
      <c r="K3" s="33">
        <f>_xlfn.MAXIFS(tblRisk[Risk Score],tblRisk[Lookup],tblRiskTreatmentPrograms[[#This Row],[Lookup]])</f>
        <v>0</v>
      </c>
      <c r="L3" s="33" t="e">
        <f>AVERAGEIFS(tblRisk[Risk Score],tblRisk[Lookup],tblRiskTreatmentPrograms[[#This Row],[Lookup]])</f>
        <v>#DIV/0!</v>
      </c>
      <c r="M3" s="33">
        <f>SUMIFS(tblRisk[Risk Score],tblRisk[Lookup],tblRiskTreatmentPrograms[[#This Row],[Lookup]])</f>
        <v>0</v>
      </c>
      <c r="N3" s="33">
        <f>SUMIFS(tblRisk[Current Level of Risk],tblRisk[Lookup],tblRiskTreatmentPrograms[[#This Row],[Lookup]])</f>
        <v>0</v>
      </c>
      <c r="O3" s="33" t="e">
        <f>AVERAGEIFS(tblRisk[Control Maturity after SG],tblRisk[Lookup],tblRiskTreatmentPrograms[[#This Row],[Lookup]])</f>
        <v>#DIV/0!</v>
      </c>
      <c r="P3" s="33">
        <f>_xlfn.MAXIFS(tblRisk[Risk Score With Safeguard in Place],tblRisk[Lookup],tblRiskTreatmentPrograms[[#This Row],[Lookup]])</f>
        <v>0</v>
      </c>
      <c r="Q3" s="33" t="e">
        <f>AVERAGEIFS(tblRisk[Risk Score With Safeguard in Place],tblRisk[Lookup],tblRiskTreatmentPrograms[[#This Row],[Lookup]])</f>
        <v>#DIV/0!</v>
      </c>
      <c r="R3" s="33">
        <f>SUMIFS(tblRisk[Risk Score With Safeguard in Place],tblRisk[Lookup],tblRiskTreatmentPrograms[[#This Row],[Lookup]])</f>
        <v>0</v>
      </c>
      <c r="S3" s="33" t="e">
        <f>tblRiskTreatmentPrograms[[#This Row],[Tgt Avg Maturity]]-tblRiskTreatmentPrograms[[#This Row],[Avg Maturity]]</f>
        <v>#DIV/0!</v>
      </c>
      <c r="T3" s="33">
        <f>tblRiskTreatmentPrograms[[#This Row],[Max]]-tblRiskTreatmentPrograms[[#This Row],[Tgt Max]]</f>
        <v>0</v>
      </c>
      <c r="U3" s="33" t="e">
        <f>tblRiskTreatmentPrograms[[#This Row],[Avg]]-tblRiskTreatmentPrograms[[#This Row],[Tgt Avg]]</f>
        <v>#DIV/0!</v>
      </c>
      <c r="V3" s="33">
        <f>tblRiskTreatmentPrograms[[#This Row],[Sum]]-tblRiskTreatmentPrograms[[#This Row],[Tgt Sum]]</f>
        <v>0</v>
      </c>
      <c r="W3" s="33"/>
      <c r="X3" s="109" t="s">
        <v>1055</v>
      </c>
      <c r="Y3" s="109" t="s">
        <v>1055</v>
      </c>
    </row>
    <row r="4" spans="2:25" ht="99.75" x14ac:dyDescent="0.45">
      <c r="B4" s="33" t="s">
        <v>8</v>
      </c>
      <c r="C4" s="33" t="s">
        <v>87</v>
      </c>
      <c r="D4" s="33"/>
      <c r="E4" s="33" t="str">
        <f>tblRiskTreatmentPrograms[[#This Row],[Common Security Program]]&amp;tblRiskTreatmentPrograms[[#This Row],[Common Security Control]]&amp;tblRiskTreatmentPrograms[[#This Row],[Asset Designation]]</f>
        <v>InfoSec OrganizationDocumentation</v>
      </c>
      <c r="F4" s="33" t="s">
        <v>161</v>
      </c>
      <c r="G4" s="33" t="s">
        <v>657</v>
      </c>
      <c r="H4" s="33"/>
      <c r="I4" s="33">
        <f>COUNTIFS(tblRisk[Lookup],tblRiskTreatmentPrograms[[#This Row],[Lookup]])</f>
        <v>0</v>
      </c>
      <c r="J4" s="33" t="e">
        <f>AVERAGEIFS(tblRisk[Control Maturity],tblRisk[Lookup],tblRiskTreatmentPrograms[[#This Row],[Lookup]])</f>
        <v>#DIV/0!</v>
      </c>
      <c r="K4" s="33">
        <f>_xlfn.MAXIFS(tblRisk[Risk Score],tblRisk[Lookup],tblRiskTreatmentPrograms[[#This Row],[Lookup]])</f>
        <v>0</v>
      </c>
      <c r="L4" s="33" t="e">
        <f>AVERAGEIFS(tblRisk[Risk Score],tblRisk[Lookup],tblRiskTreatmentPrograms[[#This Row],[Lookup]])</f>
        <v>#DIV/0!</v>
      </c>
      <c r="M4" s="33">
        <f>SUMIFS(tblRisk[Risk Score],tblRisk[Lookup],tblRiskTreatmentPrograms[[#This Row],[Lookup]])</f>
        <v>0</v>
      </c>
      <c r="N4" s="33">
        <f>SUMIFS(tblRisk[Current Level of Risk],tblRisk[Lookup],tblRiskTreatmentPrograms[[#This Row],[Lookup]])</f>
        <v>0</v>
      </c>
      <c r="O4" s="33" t="e">
        <f>AVERAGEIFS(tblRisk[Control Maturity after SG],tblRisk[Lookup],tblRiskTreatmentPrograms[[#This Row],[Lookup]])</f>
        <v>#DIV/0!</v>
      </c>
      <c r="P4" s="33">
        <f>_xlfn.MAXIFS(tblRisk[Risk Score With Safeguard in Place],tblRisk[Lookup],tblRiskTreatmentPrograms[[#This Row],[Lookup]])</f>
        <v>0</v>
      </c>
      <c r="Q4" s="33" t="e">
        <f>AVERAGEIFS(tblRisk[Risk Score With Safeguard in Place],tblRisk[Lookup],tblRiskTreatmentPrograms[[#This Row],[Lookup]])</f>
        <v>#DIV/0!</v>
      </c>
      <c r="R4" s="33">
        <f>SUMIFS(tblRisk[Risk Score With Safeguard in Place],tblRisk[Lookup],tblRiskTreatmentPrograms[[#This Row],[Lookup]])</f>
        <v>0</v>
      </c>
      <c r="S4" s="33" t="e">
        <f>tblRiskTreatmentPrograms[[#This Row],[Tgt Avg Maturity]]-tblRiskTreatmentPrograms[[#This Row],[Avg Maturity]]</f>
        <v>#DIV/0!</v>
      </c>
      <c r="T4" s="33">
        <f>tblRiskTreatmentPrograms[[#This Row],[Max]]-tblRiskTreatmentPrograms[[#This Row],[Tgt Max]]</f>
        <v>0</v>
      </c>
      <c r="U4" s="33" t="e">
        <f>tblRiskTreatmentPrograms[[#This Row],[Avg]]-tblRiskTreatmentPrograms[[#This Row],[Tgt Avg]]</f>
        <v>#DIV/0!</v>
      </c>
      <c r="V4" s="33">
        <f>tblRiskTreatmentPrograms[[#This Row],[Sum]]-tblRiskTreatmentPrograms[[#This Row],[Tgt Sum]]</f>
        <v>0</v>
      </c>
      <c r="W4" s="33"/>
      <c r="X4" s="109" t="s">
        <v>1055</v>
      </c>
      <c r="Y4" s="109" t="s">
        <v>1055</v>
      </c>
    </row>
    <row r="5" spans="2:25" ht="85.5" x14ac:dyDescent="0.45">
      <c r="B5" s="33" t="s">
        <v>8</v>
      </c>
      <c r="C5" s="33" t="s">
        <v>88</v>
      </c>
      <c r="D5" s="33"/>
      <c r="E5" s="33" t="str">
        <f>tblRiskTreatmentPrograms[[#This Row],[Common Security Program]]&amp;tblRiskTreatmentPrograms[[#This Row],[Common Security Control]]&amp;tblRiskTreatmentPrograms[[#This Row],[Asset Designation]]</f>
        <v>InfoSec OrganizationOperation</v>
      </c>
      <c r="F5" s="33" t="s">
        <v>162</v>
      </c>
      <c r="G5" s="33" t="s">
        <v>658</v>
      </c>
      <c r="H5" s="33"/>
      <c r="I5" s="33">
        <f>COUNTIFS(tblRisk[Lookup],tblRiskTreatmentPrograms[[#This Row],[Lookup]])</f>
        <v>0</v>
      </c>
      <c r="J5" s="33" t="e">
        <f>AVERAGEIFS(tblRisk[Control Maturity],tblRisk[Lookup],tblRiskTreatmentPrograms[[#This Row],[Lookup]])</f>
        <v>#DIV/0!</v>
      </c>
      <c r="K5" s="33">
        <f>_xlfn.MAXIFS(tblRisk[Risk Score],tblRisk[Lookup],tblRiskTreatmentPrograms[[#This Row],[Lookup]])</f>
        <v>0</v>
      </c>
      <c r="L5" s="33" t="e">
        <f>AVERAGEIFS(tblRisk[Risk Score],tblRisk[Lookup],tblRiskTreatmentPrograms[[#This Row],[Lookup]])</f>
        <v>#DIV/0!</v>
      </c>
      <c r="M5" s="33">
        <f>SUMIFS(tblRisk[Risk Score],tblRisk[Lookup],tblRiskTreatmentPrograms[[#This Row],[Lookup]])</f>
        <v>0</v>
      </c>
      <c r="N5" s="33">
        <f>SUMIFS(tblRisk[Current Level of Risk],tblRisk[Lookup],tblRiskTreatmentPrograms[[#This Row],[Lookup]])</f>
        <v>0</v>
      </c>
      <c r="O5" s="33" t="e">
        <f>AVERAGEIFS(tblRisk[Control Maturity after SG],tblRisk[Lookup],tblRiskTreatmentPrograms[[#This Row],[Lookup]])</f>
        <v>#DIV/0!</v>
      </c>
      <c r="P5" s="33">
        <f>_xlfn.MAXIFS(tblRisk[Risk Score With Safeguard in Place],tblRisk[Lookup],tblRiskTreatmentPrograms[[#This Row],[Lookup]])</f>
        <v>0</v>
      </c>
      <c r="Q5" s="33" t="e">
        <f>AVERAGEIFS(tblRisk[Risk Score With Safeguard in Place],tblRisk[Lookup],tblRiskTreatmentPrograms[[#This Row],[Lookup]])</f>
        <v>#DIV/0!</v>
      </c>
      <c r="R5" s="33">
        <f>SUMIFS(tblRisk[Risk Score With Safeguard in Place],tblRisk[Lookup],tblRiskTreatmentPrograms[[#This Row],[Lookup]])</f>
        <v>0</v>
      </c>
      <c r="S5" s="33" t="e">
        <f>tblRiskTreatmentPrograms[[#This Row],[Tgt Avg Maturity]]-tblRiskTreatmentPrograms[[#This Row],[Avg Maturity]]</f>
        <v>#DIV/0!</v>
      </c>
      <c r="T5" s="33">
        <f>tblRiskTreatmentPrograms[[#This Row],[Max]]-tblRiskTreatmentPrograms[[#This Row],[Tgt Max]]</f>
        <v>0</v>
      </c>
      <c r="U5" s="33" t="e">
        <f>tblRiskTreatmentPrograms[[#This Row],[Avg]]-tblRiskTreatmentPrograms[[#This Row],[Tgt Avg]]</f>
        <v>#DIV/0!</v>
      </c>
      <c r="V5" s="33">
        <f>tblRiskTreatmentPrograms[[#This Row],[Sum]]-tblRiskTreatmentPrograms[[#This Row],[Tgt Sum]]</f>
        <v>0</v>
      </c>
      <c r="W5" s="33"/>
      <c r="X5" s="109" t="s">
        <v>1055</v>
      </c>
      <c r="Y5" s="109" t="s">
        <v>1055</v>
      </c>
    </row>
    <row r="6" spans="2:25" ht="171" x14ac:dyDescent="0.45">
      <c r="B6" s="33" t="s">
        <v>9</v>
      </c>
      <c r="C6" s="33" t="s">
        <v>86</v>
      </c>
      <c r="D6" s="33"/>
      <c r="E6" s="33" t="str">
        <f>tblRiskTreatmentPrograms[[#This Row],[Common Security Program]]&amp;tblRiskTreatmentPrograms[[#This Row],[Common Security Control]]&amp;tblRiskTreatmentPrograms[[#This Row],[Asset Designation]]</f>
        <v>Audit &amp; ComplianceGovernance</v>
      </c>
      <c r="F6" s="33" t="s">
        <v>163</v>
      </c>
      <c r="G6" s="33" t="s">
        <v>659</v>
      </c>
      <c r="H6" s="33"/>
      <c r="I6" s="33">
        <f>COUNTIFS(tblRisk[Lookup],tblRiskTreatmentPrograms[[#This Row],[Lookup]])</f>
        <v>0</v>
      </c>
      <c r="J6" s="33" t="e">
        <f>AVERAGEIFS(tblRisk[Control Maturity],tblRisk[Lookup],tblRiskTreatmentPrograms[[#This Row],[Lookup]])</f>
        <v>#DIV/0!</v>
      </c>
      <c r="K6" s="33">
        <f>_xlfn.MAXIFS(tblRisk[Risk Score],tblRisk[Lookup],tblRiskTreatmentPrograms[[#This Row],[Lookup]])</f>
        <v>0</v>
      </c>
      <c r="L6" s="33" t="e">
        <f>AVERAGEIFS(tblRisk[Risk Score],tblRisk[Lookup],tblRiskTreatmentPrograms[[#This Row],[Lookup]])</f>
        <v>#DIV/0!</v>
      </c>
      <c r="M6" s="33">
        <f>SUMIFS(tblRisk[Risk Score],tblRisk[Lookup],tblRiskTreatmentPrograms[[#This Row],[Lookup]])</f>
        <v>0</v>
      </c>
      <c r="N6" s="33">
        <f>SUMIFS(tblRisk[Current Level of Risk],tblRisk[Lookup],tblRiskTreatmentPrograms[[#This Row],[Lookup]])</f>
        <v>0</v>
      </c>
      <c r="O6" s="33" t="e">
        <f>AVERAGEIFS(tblRisk[Control Maturity after SG],tblRisk[Lookup],tblRiskTreatmentPrograms[[#This Row],[Lookup]])</f>
        <v>#DIV/0!</v>
      </c>
      <c r="P6" s="33">
        <f>_xlfn.MAXIFS(tblRisk[Risk Score With Safeguard in Place],tblRisk[Lookup],tblRiskTreatmentPrograms[[#This Row],[Lookup]])</f>
        <v>0</v>
      </c>
      <c r="Q6" s="33" t="e">
        <f>AVERAGEIFS(tblRisk[Risk Score With Safeguard in Place],tblRisk[Lookup],tblRiskTreatmentPrograms[[#This Row],[Lookup]])</f>
        <v>#DIV/0!</v>
      </c>
      <c r="R6" s="33">
        <f>SUMIFS(tblRisk[Risk Score With Safeguard in Place],tblRisk[Lookup],tblRiskTreatmentPrograms[[#This Row],[Lookup]])</f>
        <v>0</v>
      </c>
      <c r="S6" s="33" t="e">
        <f>tblRiskTreatmentPrograms[[#This Row],[Tgt Avg Maturity]]-tblRiskTreatmentPrograms[[#This Row],[Avg Maturity]]</f>
        <v>#DIV/0!</v>
      </c>
      <c r="T6" s="33">
        <f>tblRiskTreatmentPrograms[[#This Row],[Max]]-tblRiskTreatmentPrograms[[#This Row],[Tgt Max]]</f>
        <v>0</v>
      </c>
      <c r="U6" s="33" t="e">
        <f>tblRiskTreatmentPrograms[[#This Row],[Avg]]-tblRiskTreatmentPrograms[[#This Row],[Tgt Avg]]</f>
        <v>#DIV/0!</v>
      </c>
      <c r="V6" s="33">
        <f>tblRiskTreatmentPrograms[[#This Row],[Sum]]-tblRiskTreatmentPrograms[[#This Row],[Tgt Sum]]</f>
        <v>0</v>
      </c>
      <c r="W6" s="33"/>
      <c r="X6" s="109" t="s">
        <v>1055</v>
      </c>
      <c r="Y6" s="109" t="s">
        <v>1055</v>
      </c>
    </row>
    <row r="7" spans="2:25" ht="85.5" x14ac:dyDescent="0.45">
      <c r="B7" s="33" t="s">
        <v>9</v>
      </c>
      <c r="C7" s="33" t="s">
        <v>88</v>
      </c>
      <c r="D7" s="33"/>
      <c r="E7" s="33" t="str">
        <f>tblRiskTreatmentPrograms[[#This Row],[Common Security Program]]&amp;tblRiskTreatmentPrograms[[#This Row],[Common Security Control]]&amp;tblRiskTreatmentPrograms[[#This Row],[Asset Designation]]</f>
        <v>Audit &amp; ComplianceOperation</v>
      </c>
      <c r="F7" s="33" t="s">
        <v>165</v>
      </c>
      <c r="G7" s="33" t="s">
        <v>660</v>
      </c>
      <c r="H7" s="33"/>
      <c r="I7" s="33">
        <f>COUNTIFS(tblRisk[Lookup],tblRiskTreatmentPrograms[[#This Row],[Lookup]])</f>
        <v>0</v>
      </c>
      <c r="J7" s="33" t="e">
        <f>AVERAGEIFS(tblRisk[Control Maturity],tblRisk[Lookup],tblRiskTreatmentPrograms[[#This Row],[Lookup]])</f>
        <v>#DIV/0!</v>
      </c>
      <c r="K7" s="33">
        <f>_xlfn.MAXIFS(tblRisk[Risk Score],tblRisk[Lookup],tblRiskTreatmentPrograms[[#This Row],[Lookup]])</f>
        <v>0</v>
      </c>
      <c r="L7" s="33" t="e">
        <f>AVERAGEIFS(tblRisk[Risk Score],tblRisk[Lookup],tblRiskTreatmentPrograms[[#This Row],[Lookup]])</f>
        <v>#DIV/0!</v>
      </c>
      <c r="M7" s="33">
        <f>SUMIFS(tblRisk[Risk Score],tblRisk[Lookup],tblRiskTreatmentPrograms[[#This Row],[Lookup]])</f>
        <v>0</v>
      </c>
      <c r="N7" s="33">
        <f>SUMIFS(tblRisk[Current Level of Risk],tblRisk[Lookup],tblRiskTreatmentPrograms[[#This Row],[Lookup]])</f>
        <v>0</v>
      </c>
      <c r="O7" s="33" t="e">
        <f>AVERAGEIFS(tblRisk[Control Maturity after SG],tblRisk[Lookup],tblRiskTreatmentPrograms[[#This Row],[Lookup]])</f>
        <v>#DIV/0!</v>
      </c>
      <c r="P7" s="33">
        <f>_xlfn.MAXIFS(tblRisk[Risk Score With Safeguard in Place],tblRisk[Lookup],tblRiskTreatmentPrograms[[#This Row],[Lookup]])</f>
        <v>0</v>
      </c>
      <c r="Q7" s="33" t="e">
        <f>AVERAGEIFS(tblRisk[Risk Score With Safeguard in Place],tblRisk[Lookup],tblRiskTreatmentPrograms[[#This Row],[Lookup]])</f>
        <v>#DIV/0!</v>
      </c>
      <c r="R7" s="33">
        <f>SUMIFS(tblRisk[Risk Score With Safeguard in Place],tblRisk[Lookup],tblRiskTreatmentPrograms[[#This Row],[Lookup]])</f>
        <v>0</v>
      </c>
      <c r="S7" s="33" t="e">
        <f>tblRiskTreatmentPrograms[[#This Row],[Tgt Avg Maturity]]-tblRiskTreatmentPrograms[[#This Row],[Avg Maturity]]</f>
        <v>#DIV/0!</v>
      </c>
      <c r="T7" s="33">
        <f>tblRiskTreatmentPrograms[[#This Row],[Max]]-tblRiskTreatmentPrograms[[#This Row],[Tgt Max]]</f>
        <v>0</v>
      </c>
      <c r="U7" s="33" t="e">
        <f>tblRiskTreatmentPrograms[[#This Row],[Avg]]-tblRiskTreatmentPrograms[[#This Row],[Tgt Avg]]</f>
        <v>#DIV/0!</v>
      </c>
      <c r="V7" s="33">
        <f>tblRiskTreatmentPrograms[[#This Row],[Sum]]-tblRiskTreatmentPrograms[[#This Row],[Tgt Sum]]</f>
        <v>0</v>
      </c>
      <c r="W7" s="33"/>
      <c r="X7" s="109" t="s">
        <v>1055</v>
      </c>
      <c r="Y7" s="109" t="s">
        <v>1055</v>
      </c>
    </row>
    <row r="8" spans="2:25" ht="142.5" x14ac:dyDescent="0.45">
      <c r="B8" s="33" t="s">
        <v>10</v>
      </c>
      <c r="C8" s="33" t="s">
        <v>86</v>
      </c>
      <c r="D8" s="33"/>
      <c r="E8" s="33" t="str">
        <f>tblRiskTreatmentPrograms[[#This Row],[Common Security Program]]&amp;tblRiskTreatmentPrograms[[#This Row],[Common Security Control]]&amp;tblRiskTreatmentPrograms[[#This Row],[Asset Designation]]</f>
        <v>Risk AssessmentGovernance</v>
      </c>
      <c r="F8" s="33" t="s">
        <v>166</v>
      </c>
      <c r="G8" s="33" t="s">
        <v>661</v>
      </c>
      <c r="H8" s="33"/>
      <c r="I8" s="33">
        <f>COUNTIFS(tblRisk[Lookup],tblRiskTreatmentPrograms[[#This Row],[Lookup]])</f>
        <v>0</v>
      </c>
      <c r="J8" s="33" t="e">
        <f>AVERAGEIFS(tblRisk[Control Maturity],tblRisk[Lookup],tblRiskTreatmentPrograms[[#This Row],[Lookup]])</f>
        <v>#DIV/0!</v>
      </c>
      <c r="K8" s="33">
        <f>_xlfn.MAXIFS(tblRisk[Risk Score],tblRisk[Lookup],tblRiskTreatmentPrograms[[#This Row],[Lookup]])</f>
        <v>0</v>
      </c>
      <c r="L8" s="33" t="e">
        <f>AVERAGEIFS(tblRisk[Risk Score],tblRisk[Lookup],tblRiskTreatmentPrograms[[#This Row],[Lookup]])</f>
        <v>#DIV/0!</v>
      </c>
      <c r="M8" s="33">
        <f>SUMIFS(tblRisk[Risk Score],tblRisk[Lookup],tblRiskTreatmentPrograms[[#This Row],[Lookup]])</f>
        <v>0</v>
      </c>
      <c r="N8" s="33">
        <f>SUMIFS(tblRisk[Current Level of Risk],tblRisk[Lookup],tblRiskTreatmentPrograms[[#This Row],[Lookup]])</f>
        <v>0</v>
      </c>
      <c r="O8" s="33" t="e">
        <f>AVERAGEIFS(tblRisk[Control Maturity after SG],tblRisk[Lookup],tblRiskTreatmentPrograms[[#This Row],[Lookup]])</f>
        <v>#DIV/0!</v>
      </c>
      <c r="P8" s="33">
        <f>_xlfn.MAXIFS(tblRisk[Risk Score With Safeguard in Place],tblRisk[Lookup],tblRiskTreatmentPrograms[[#This Row],[Lookup]])</f>
        <v>0</v>
      </c>
      <c r="Q8" s="33" t="e">
        <f>AVERAGEIFS(tblRisk[Risk Score With Safeguard in Place],tblRisk[Lookup],tblRiskTreatmentPrograms[[#This Row],[Lookup]])</f>
        <v>#DIV/0!</v>
      </c>
      <c r="R8" s="33">
        <f>SUMIFS(tblRisk[Risk Score With Safeguard in Place],tblRisk[Lookup],tblRiskTreatmentPrograms[[#This Row],[Lookup]])</f>
        <v>0</v>
      </c>
      <c r="S8" s="33" t="e">
        <f>tblRiskTreatmentPrograms[[#This Row],[Tgt Avg Maturity]]-tblRiskTreatmentPrograms[[#This Row],[Avg Maturity]]</f>
        <v>#DIV/0!</v>
      </c>
      <c r="T8" s="33">
        <f>tblRiskTreatmentPrograms[[#This Row],[Max]]-tblRiskTreatmentPrograms[[#This Row],[Tgt Max]]</f>
        <v>0</v>
      </c>
      <c r="U8" s="33" t="e">
        <f>tblRiskTreatmentPrograms[[#This Row],[Avg]]-tblRiskTreatmentPrograms[[#This Row],[Tgt Avg]]</f>
        <v>#DIV/0!</v>
      </c>
      <c r="V8" s="33">
        <f>tblRiskTreatmentPrograms[[#This Row],[Sum]]-tblRiskTreatmentPrograms[[#This Row],[Tgt Sum]]</f>
        <v>0</v>
      </c>
      <c r="W8" s="33"/>
      <c r="X8" s="109" t="s">
        <v>1055</v>
      </c>
      <c r="Y8" s="109" t="s">
        <v>1055</v>
      </c>
    </row>
    <row r="9" spans="2:25" ht="99.75" x14ac:dyDescent="0.45">
      <c r="B9" s="33" t="s">
        <v>10</v>
      </c>
      <c r="C9" s="33" t="s">
        <v>88</v>
      </c>
      <c r="D9" s="33"/>
      <c r="E9" s="33" t="str">
        <f>tblRiskTreatmentPrograms[[#This Row],[Common Security Program]]&amp;tblRiskTreatmentPrograms[[#This Row],[Common Security Control]]&amp;tblRiskTreatmentPrograms[[#This Row],[Asset Designation]]</f>
        <v>Risk AssessmentOperation</v>
      </c>
      <c r="F9" s="33" t="s">
        <v>167</v>
      </c>
      <c r="G9" s="33" t="s">
        <v>662</v>
      </c>
      <c r="H9" s="33"/>
      <c r="I9" s="33">
        <f>COUNTIFS(tblRisk[Lookup],tblRiskTreatmentPrograms[[#This Row],[Lookup]])</f>
        <v>0</v>
      </c>
      <c r="J9" s="33" t="e">
        <f>AVERAGEIFS(tblRisk[Control Maturity],tblRisk[Lookup],tblRiskTreatmentPrograms[[#This Row],[Lookup]])</f>
        <v>#DIV/0!</v>
      </c>
      <c r="K9" s="33">
        <f>_xlfn.MAXIFS(tblRisk[Risk Score],tblRisk[Lookup],tblRiskTreatmentPrograms[[#This Row],[Lookup]])</f>
        <v>0</v>
      </c>
      <c r="L9" s="33" t="e">
        <f>AVERAGEIFS(tblRisk[Risk Score],tblRisk[Lookup],tblRiskTreatmentPrograms[[#This Row],[Lookup]])</f>
        <v>#DIV/0!</v>
      </c>
      <c r="M9" s="33">
        <f>SUMIFS(tblRisk[Risk Score],tblRisk[Lookup],tblRiskTreatmentPrograms[[#This Row],[Lookup]])</f>
        <v>0</v>
      </c>
      <c r="N9" s="33">
        <f>SUMIFS(tblRisk[Current Level of Risk],tblRisk[Lookup],tblRiskTreatmentPrograms[[#This Row],[Lookup]])</f>
        <v>0</v>
      </c>
      <c r="O9" s="33" t="e">
        <f>AVERAGEIFS(tblRisk[Control Maturity after SG],tblRisk[Lookup],tblRiskTreatmentPrograms[[#This Row],[Lookup]])</f>
        <v>#DIV/0!</v>
      </c>
      <c r="P9" s="33">
        <f>_xlfn.MAXIFS(tblRisk[Risk Score With Safeguard in Place],tblRisk[Lookup],tblRiskTreatmentPrograms[[#This Row],[Lookup]])</f>
        <v>0</v>
      </c>
      <c r="Q9" s="33" t="e">
        <f>AVERAGEIFS(tblRisk[Risk Score With Safeguard in Place],tblRisk[Lookup],tblRiskTreatmentPrograms[[#This Row],[Lookup]])</f>
        <v>#DIV/0!</v>
      </c>
      <c r="R9" s="33">
        <f>SUMIFS(tblRisk[Risk Score With Safeguard in Place],tblRisk[Lookup],tblRiskTreatmentPrograms[[#This Row],[Lookup]])</f>
        <v>0</v>
      </c>
      <c r="S9" s="33" t="e">
        <f>tblRiskTreatmentPrograms[[#This Row],[Tgt Avg Maturity]]-tblRiskTreatmentPrograms[[#This Row],[Avg Maturity]]</f>
        <v>#DIV/0!</v>
      </c>
      <c r="T9" s="33">
        <f>tblRiskTreatmentPrograms[[#This Row],[Max]]-tblRiskTreatmentPrograms[[#This Row],[Tgt Max]]</f>
        <v>0</v>
      </c>
      <c r="U9" s="33" t="e">
        <f>tblRiskTreatmentPrograms[[#This Row],[Avg]]-tblRiskTreatmentPrograms[[#This Row],[Tgt Avg]]</f>
        <v>#DIV/0!</v>
      </c>
      <c r="V9" s="33">
        <f>tblRiskTreatmentPrograms[[#This Row],[Sum]]-tblRiskTreatmentPrograms[[#This Row],[Tgt Sum]]</f>
        <v>0</v>
      </c>
      <c r="W9" s="33"/>
      <c r="X9" s="109" t="s">
        <v>1055</v>
      </c>
      <c r="Y9" s="109" t="s">
        <v>1055</v>
      </c>
    </row>
    <row r="10" spans="2:25" ht="185.25" x14ac:dyDescent="0.45">
      <c r="B10" s="33" t="s">
        <v>11</v>
      </c>
      <c r="C10" s="33" t="s">
        <v>86</v>
      </c>
      <c r="D10" s="33"/>
      <c r="E10" s="33" t="str">
        <f>tblRiskTreatmentPrograms[[#This Row],[Common Security Program]]&amp;tblRiskTreatmentPrograms[[#This Row],[Common Security Control]]&amp;tblRiskTreatmentPrograms[[#This Row],[Asset Designation]]</f>
        <v>Data Classification &amp; HandlingGovernance</v>
      </c>
      <c r="F10" s="33" t="s">
        <v>89</v>
      </c>
      <c r="G10" s="33" t="s">
        <v>663</v>
      </c>
      <c r="H10" s="33"/>
      <c r="I10" s="33">
        <f>COUNTIFS(tblRisk[Lookup],tblRiskTreatmentPrograms[[#This Row],[Lookup]])</f>
        <v>0</v>
      </c>
      <c r="J10" s="33" t="e">
        <f>AVERAGEIFS(tblRisk[Control Maturity],tblRisk[Lookup],tblRiskTreatmentPrograms[[#This Row],[Lookup]])</f>
        <v>#DIV/0!</v>
      </c>
      <c r="K10" s="33">
        <f>_xlfn.MAXIFS(tblRisk[Risk Score],tblRisk[Lookup],tblRiskTreatmentPrograms[[#This Row],[Lookup]])</f>
        <v>0</v>
      </c>
      <c r="L10" s="33" t="e">
        <f>AVERAGEIFS(tblRisk[Risk Score],tblRisk[Lookup],tblRiskTreatmentPrograms[[#This Row],[Lookup]])</f>
        <v>#DIV/0!</v>
      </c>
      <c r="M10" s="33">
        <f>SUMIFS(tblRisk[Risk Score],tblRisk[Lookup],tblRiskTreatmentPrograms[[#This Row],[Lookup]])</f>
        <v>0</v>
      </c>
      <c r="N10" s="33">
        <f>SUMIFS(tblRisk[Current Level of Risk],tblRisk[Lookup],tblRiskTreatmentPrograms[[#This Row],[Lookup]])</f>
        <v>0</v>
      </c>
      <c r="O10" s="33" t="e">
        <f>AVERAGEIFS(tblRisk[Control Maturity after SG],tblRisk[Lookup],tblRiskTreatmentPrograms[[#This Row],[Lookup]])</f>
        <v>#DIV/0!</v>
      </c>
      <c r="P10" s="33">
        <f>_xlfn.MAXIFS(tblRisk[Risk Score With Safeguard in Place],tblRisk[Lookup],tblRiskTreatmentPrograms[[#This Row],[Lookup]])</f>
        <v>0</v>
      </c>
      <c r="Q10" s="33" t="e">
        <f>AVERAGEIFS(tblRisk[Risk Score With Safeguard in Place],tblRisk[Lookup],tblRiskTreatmentPrograms[[#This Row],[Lookup]])</f>
        <v>#DIV/0!</v>
      </c>
      <c r="R10" s="33">
        <f>SUMIFS(tblRisk[Risk Score With Safeguard in Place],tblRisk[Lookup],tblRiskTreatmentPrograms[[#This Row],[Lookup]])</f>
        <v>0</v>
      </c>
      <c r="S10" s="33" t="e">
        <f>tblRiskTreatmentPrograms[[#This Row],[Tgt Avg Maturity]]-tblRiskTreatmentPrograms[[#This Row],[Avg Maturity]]</f>
        <v>#DIV/0!</v>
      </c>
      <c r="T10" s="33">
        <f>tblRiskTreatmentPrograms[[#This Row],[Max]]-tblRiskTreatmentPrograms[[#This Row],[Tgt Max]]</f>
        <v>0</v>
      </c>
      <c r="U10" s="33" t="e">
        <f>tblRiskTreatmentPrograms[[#This Row],[Avg]]-tblRiskTreatmentPrograms[[#This Row],[Tgt Avg]]</f>
        <v>#DIV/0!</v>
      </c>
      <c r="V10" s="33">
        <f>tblRiskTreatmentPrograms[[#This Row],[Sum]]-tblRiskTreatmentPrograms[[#This Row],[Tgt Sum]]</f>
        <v>0</v>
      </c>
      <c r="W10" s="33"/>
      <c r="X10" s="109" t="s">
        <v>1055</v>
      </c>
      <c r="Y10" s="109" t="s">
        <v>1055</v>
      </c>
    </row>
    <row r="11" spans="2:25" ht="99.75" x14ac:dyDescent="0.45">
      <c r="B11" s="33" t="s">
        <v>11</v>
      </c>
      <c r="C11" s="33" t="s">
        <v>88</v>
      </c>
      <c r="D11" s="33"/>
      <c r="E11" s="33" t="str">
        <f>tblRiskTreatmentPrograms[[#This Row],[Common Security Program]]&amp;tblRiskTreatmentPrograms[[#This Row],[Common Security Control]]&amp;tblRiskTreatmentPrograms[[#This Row],[Asset Designation]]</f>
        <v>Data Classification &amp; HandlingOperation</v>
      </c>
      <c r="F11" s="33" t="s">
        <v>90</v>
      </c>
      <c r="G11" s="33" t="s">
        <v>664</v>
      </c>
      <c r="H11" s="33"/>
      <c r="I11" s="33">
        <f>COUNTIFS(tblRisk[Lookup],tblRiskTreatmentPrograms[[#This Row],[Lookup]])</f>
        <v>0</v>
      </c>
      <c r="J11" s="33" t="e">
        <f>AVERAGEIFS(tblRisk[Control Maturity],tblRisk[Lookup],tblRiskTreatmentPrograms[[#This Row],[Lookup]])</f>
        <v>#DIV/0!</v>
      </c>
      <c r="K11" s="33">
        <f>_xlfn.MAXIFS(tblRisk[Risk Score],tblRisk[Lookup],tblRiskTreatmentPrograms[[#This Row],[Lookup]])</f>
        <v>0</v>
      </c>
      <c r="L11" s="33" t="e">
        <f>AVERAGEIFS(tblRisk[Risk Score],tblRisk[Lookup],tblRiskTreatmentPrograms[[#This Row],[Lookup]])</f>
        <v>#DIV/0!</v>
      </c>
      <c r="M11" s="33">
        <f>SUMIFS(tblRisk[Risk Score],tblRisk[Lookup],tblRiskTreatmentPrograms[[#This Row],[Lookup]])</f>
        <v>0</v>
      </c>
      <c r="N11" s="33">
        <f>SUMIFS(tblRisk[Current Level of Risk],tblRisk[Lookup],tblRiskTreatmentPrograms[[#This Row],[Lookup]])</f>
        <v>0</v>
      </c>
      <c r="O11" s="33" t="e">
        <f>AVERAGEIFS(tblRisk[Control Maturity after SG],tblRisk[Lookup],tblRiskTreatmentPrograms[[#This Row],[Lookup]])</f>
        <v>#DIV/0!</v>
      </c>
      <c r="P11" s="33">
        <f>_xlfn.MAXIFS(tblRisk[Risk Score With Safeguard in Place],tblRisk[Lookup],tblRiskTreatmentPrograms[[#This Row],[Lookup]])</f>
        <v>0</v>
      </c>
      <c r="Q11" s="33" t="e">
        <f>AVERAGEIFS(tblRisk[Risk Score With Safeguard in Place],tblRisk[Lookup],tblRiskTreatmentPrograms[[#This Row],[Lookup]])</f>
        <v>#DIV/0!</v>
      </c>
      <c r="R11" s="33">
        <f>SUMIFS(tblRisk[Risk Score With Safeguard in Place],tblRisk[Lookup],tblRiskTreatmentPrograms[[#This Row],[Lookup]])</f>
        <v>0</v>
      </c>
      <c r="S11" s="33" t="e">
        <f>tblRiskTreatmentPrograms[[#This Row],[Tgt Avg Maturity]]-tblRiskTreatmentPrograms[[#This Row],[Avg Maturity]]</f>
        <v>#DIV/0!</v>
      </c>
      <c r="T11" s="33">
        <f>tblRiskTreatmentPrograms[[#This Row],[Max]]-tblRiskTreatmentPrograms[[#This Row],[Tgt Max]]</f>
        <v>0</v>
      </c>
      <c r="U11" s="33" t="e">
        <f>tblRiskTreatmentPrograms[[#This Row],[Avg]]-tblRiskTreatmentPrograms[[#This Row],[Tgt Avg]]</f>
        <v>#DIV/0!</v>
      </c>
      <c r="V11" s="33">
        <f>tblRiskTreatmentPrograms[[#This Row],[Sum]]-tblRiskTreatmentPrograms[[#This Row],[Tgt Sum]]</f>
        <v>0</v>
      </c>
      <c r="W11" s="33"/>
      <c r="X11" s="109" t="s">
        <v>1055</v>
      </c>
      <c r="Y11" s="109" t="s">
        <v>1055</v>
      </c>
    </row>
    <row r="12" spans="2:25" ht="213.75" x14ac:dyDescent="0.45">
      <c r="B12" s="33" t="s">
        <v>12</v>
      </c>
      <c r="C12" s="33" t="s">
        <v>86</v>
      </c>
      <c r="D12" s="33"/>
      <c r="E12" s="33" t="str">
        <f>tblRiskTreatmentPrograms[[#This Row],[Common Security Program]]&amp;tblRiskTreatmentPrograms[[#This Row],[Common Security Control]]&amp;tblRiskTreatmentPrograms[[#This Row],[Asset Designation]]</f>
        <v>Third Party SecurityGovernance</v>
      </c>
      <c r="F12" s="33" t="s">
        <v>92</v>
      </c>
      <c r="G12" s="33" t="s">
        <v>665</v>
      </c>
      <c r="H12" s="33"/>
      <c r="I12" s="33">
        <f>COUNTIFS(tblRisk[Lookup],tblRiskTreatmentPrograms[[#This Row],[Lookup]])</f>
        <v>0</v>
      </c>
      <c r="J12" s="33" t="e">
        <f>AVERAGEIFS(tblRisk[Control Maturity],tblRisk[Lookup],tblRiskTreatmentPrograms[[#This Row],[Lookup]])</f>
        <v>#DIV/0!</v>
      </c>
      <c r="K12" s="33">
        <f>_xlfn.MAXIFS(tblRisk[Risk Score],tblRisk[Lookup],tblRiskTreatmentPrograms[[#This Row],[Lookup]])</f>
        <v>0</v>
      </c>
      <c r="L12" s="33" t="e">
        <f>AVERAGEIFS(tblRisk[Risk Score],tblRisk[Lookup],tblRiskTreatmentPrograms[[#This Row],[Lookup]])</f>
        <v>#DIV/0!</v>
      </c>
      <c r="M12" s="33">
        <f>SUMIFS(tblRisk[Risk Score],tblRisk[Lookup],tblRiskTreatmentPrograms[[#This Row],[Lookup]])</f>
        <v>0</v>
      </c>
      <c r="N12" s="33">
        <f>SUMIFS(tblRisk[Current Level of Risk],tblRisk[Lookup],tblRiskTreatmentPrograms[[#This Row],[Lookup]])</f>
        <v>0</v>
      </c>
      <c r="O12" s="33" t="e">
        <f>AVERAGEIFS(tblRisk[Control Maturity after SG],tblRisk[Lookup],tblRiskTreatmentPrograms[[#This Row],[Lookup]])</f>
        <v>#DIV/0!</v>
      </c>
      <c r="P12" s="33">
        <f>_xlfn.MAXIFS(tblRisk[Risk Score With Safeguard in Place],tblRisk[Lookup],tblRiskTreatmentPrograms[[#This Row],[Lookup]])</f>
        <v>0</v>
      </c>
      <c r="Q12" s="33" t="e">
        <f>AVERAGEIFS(tblRisk[Risk Score With Safeguard in Place],tblRisk[Lookup],tblRiskTreatmentPrograms[[#This Row],[Lookup]])</f>
        <v>#DIV/0!</v>
      </c>
      <c r="R12" s="33">
        <f>SUMIFS(tblRisk[Risk Score With Safeguard in Place],tblRisk[Lookup],tblRiskTreatmentPrograms[[#This Row],[Lookup]])</f>
        <v>0</v>
      </c>
      <c r="S12" s="33" t="e">
        <f>tblRiskTreatmentPrograms[[#This Row],[Tgt Avg Maturity]]-tblRiskTreatmentPrograms[[#This Row],[Avg Maturity]]</f>
        <v>#DIV/0!</v>
      </c>
      <c r="T12" s="33">
        <f>tblRiskTreatmentPrograms[[#This Row],[Max]]-tblRiskTreatmentPrograms[[#This Row],[Tgt Max]]</f>
        <v>0</v>
      </c>
      <c r="U12" s="33" t="e">
        <f>tblRiskTreatmentPrograms[[#This Row],[Avg]]-tblRiskTreatmentPrograms[[#This Row],[Tgt Avg]]</f>
        <v>#DIV/0!</v>
      </c>
      <c r="V12" s="33">
        <f>tblRiskTreatmentPrograms[[#This Row],[Sum]]-tblRiskTreatmentPrograms[[#This Row],[Tgt Sum]]</f>
        <v>0</v>
      </c>
      <c r="W12" s="33"/>
      <c r="X12" s="109" t="s">
        <v>1055</v>
      </c>
      <c r="Y12" s="109" t="s">
        <v>1055</v>
      </c>
    </row>
    <row r="13" spans="2:25" ht="171" x14ac:dyDescent="0.45">
      <c r="B13" s="33" t="s">
        <v>12</v>
      </c>
      <c r="C13" s="33" t="s">
        <v>88</v>
      </c>
      <c r="D13" s="33"/>
      <c r="E13" s="33" t="str">
        <f>tblRiskTreatmentPrograms[[#This Row],[Common Security Program]]&amp;tblRiskTreatmentPrograms[[#This Row],[Common Security Control]]&amp;tblRiskTreatmentPrograms[[#This Row],[Asset Designation]]</f>
        <v>Third Party SecurityOperation</v>
      </c>
      <c r="F13" s="33" t="s">
        <v>93</v>
      </c>
      <c r="G13" s="33" t="s">
        <v>666</v>
      </c>
      <c r="H13" s="33"/>
      <c r="I13" s="33">
        <f>COUNTIFS(tblRisk[Lookup],tblRiskTreatmentPrograms[[#This Row],[Lookup]])</f>
        <v>0</v>
      </c>
      <c r="J13" s="33" t="e">
        <f>AVERAGEIFS(tblRisk[Control Maturity],tblRisk[Lookup],tblRiskTreatmentPrograms[[#This Row],[Lookup]])</f>
        <v>#DIV/0!</v>
      </c>
      <c r="K13" s="33">
        <f>_xlfn.MAXIFS(tblRisk[Risk Score],tblRisk[Lookup],tblRiskTreatmentPrograms[[#This Row],[Lookup]])</f>
        <v>0</v>
      </c>
      <c r="L13" s="33" t="e">
        <f>AVERAGEIFS(tblRisk[Risk Score],tblRisk[Lookup],tblRiskTreatmentPrograms[[#This Row],[Lookup]])</f>
        <v>#DIV/0!</v>
      </c>
      <c r="M13" s="33">
        <f>SUMIFS(tblRisk[Risk Score],tblRisk[Lookup],tblRiskTreatmentPrograms[[#This Row],[Lookup]])</f>
        <v>0</v>
      </c>
      <c r="N13" s="33">
        <f>SUMIFS(tblRisk[Current Level of Risk],tblRisk[Lookup],tblRiskTreatmentPrograms[[#This Row],[Lookup]])</f>
        <v>0</v>
      </c>
      <c r="O13" s="33" t="e">
        <f>AVERAGEIFS(tblRisk[Control Maturity after SG],tblRisk[Lookup],tblRiskTreatmentPrograms[[#This Row],[Lookup]])</f>
        <v>#DIV/0!</v>
      </c>
      <c r="P13" s="33">
        <f>_xlfn.MAXIFS(tblRisk[Risk Score With Safeguard in Place],tblRisk[Lookup],tblRiskTreatmentPrograms[[#This Row],[Lookup]])</f>
        <v>0</v>
      </c>
      <c r="Q13" s="33" t="e">
        <f>AVERAGEIFS(tblRisk[Risk Score With Safeguard in Place],tblRisk[Lookup],tblRiskTreatmentPrograms[[#This Row],[Lookup]])</f>
        <v>#DIV/0!</v>
      </c>
      <c r="R13" s="33">
        <f>SUMIFS(tblRisk[Risk Score With Safeguard in Place],tblRisk[Lookup],tblRiskTreatmentPrograms[[#This Row],[Lookup]])</f>
        <v>0</v>
      </c>
      <c r="S13" s="33" t="e">
        <f>tblRiskTreatmentPrograms[[#This Row],[Tgt Avg Maturity]]-tblRiskTreatmentPrograms[[#This Row],[Avg Maturity]]</f>
        <v>#DIV/0!</v>
      </c>
      <c r="T13" s="33">
        <f>tblRiskTreatmentPrograms[[#This Row],[Max]]-tblRiskTreatmentPrograms[[#This Row],[Tgt Max]]</f>
        <v>0</v>
      </c>
      <c r="U13" s="33" t="e">
        <f>tblRiskTreatmentPrograms[[#This Row],[Avg]]-tblRiskTreatmentPrograms[[#This Row],[Tgt Avg]]</f>
        <v>#DIV/0!</v>
      </c>
      <c r="V13" s="33">
        <f>tblRiskTreatmentPrograms[[#This Row],[Sum]]-tblRiskTreatmentPrograms[[#This Row],[Tgt Sum]]</f>
        <v>0</v>
      </c>
      <c r="W13" s="33"/>
      <c r="X13" s="109" t="s">
        <v>1055</v>
      </c>
      <c r="Y13" s="109" t="s">
        <v>1055</v>
      </c>
    </row>
    <row r="14" spans="2:25" ht="370.5" x14ac:dyDescent="0.45">
      <c r="B14" s="33" t="s">
        <v>13</v>
      </c>
      <c r="C14" s="33" t="s">
        <v>86</v>
      </c>
      <c r="D14" s="33"/>
      <c r="E14" s="33" t="str">
        <f>tblRiskTreatmentPrograms[[#This Row],[Common Security Program]]&amp;tblRiskTreatmentPrograms[[#This Row],[Common Security Control]]&amp;tblRiskTreatmentPrograms[[#This Row],[Asset Designation]]</f>
        <v>Incident ResponseGovernance</v>
      </c>
      <c r="F14" s="33" t="s">
        <v>168</v>
      </c>
      <c r="G14" s="33" t="s">
        <v>667</v>
      </c>
      <c r="H14" s="33"/>
      <c r="I14" s="33">
        <f>COUNTIFS(tblRisk[Lookup],tblRiskTreatmentPrograms[[#This Row],[Lookup]])</f>
        <v>0</v>
      </c>
      <c r="J14" s="33" t="e">
        <f>AVERAGEIFS(tblRisk[Control Maturity],tblRisk[Lookup],tblRiskTreatmentPrograms[[#This Row],[Lookup]])</f>
        <v>#DIV/0!</v>
      </c>
      <c r="K14" s="33">
        <f>_xlfn.MAXIFS(tblRisk[Risk Score],tblRisk[Lookup],tblRiskTreatmentPrograms[[#This Row],[Lookup]])</f>
        <v>0</v>
      </c>
      <c r="L14" s="33" t="e">
        <f>AVERAGEIFS(tblRisk[Risk Score],tblRisk[Lookup],tblRiskTreatmentPrograms[[#This Row],[Lookup]])</f>
        <v>#DIV/0!</v>
      </c>
      <c r="M14" s="33">
        <f>SUMIFS(tblRisk[Risk Score],tblRisk[Lookup],tblRiskTreatmentPrograms[[#This Row],[Lookup]])</f>
        <v>0</v>
      </c>
      <c r="N14" s="33">
        <f>SUMIFS(tblRisk[Current Level of Risk],tblRisk[Lookup],tblRiskTreatmentPrograms[[#This Row],[Lookup]])</f>
        <v>0</v>
      </c>
      <c r="O14" s="33" t="e">
        <f>AVERAGEIFS(tblRisk[Control Maturity after SG],tblRisk[Lookup],tblRiskTreatmentPrograms[[#This Row],[Lookup]])</f>
        <v>#DIV/0!</v>
      </c>
      <c r="P14" s="33">
        <f>_xlfn.MAXIFS(tblRisk[Risk Score With Safeguard in Place],tblRisk[Lookup],tblRiskTreatmentPrograms[[#This Row],[Lookup]])</f>
        <v>0</v>
      </c>
      <c r="Q14" s="33" t="e">
        <f>AVERAGEIFS(tblRisk[Risk Score With Safeguard in Place],tblRisk[Lookup],tblRiskTreatmentPrograms[[#This Row],[Lookup]])</f>
        <v>#DIV/0!</v>
      </c>
      <c r="R14" s="33">
        <f>SUMIFS(tblRisk[Risk Score With Safeguard in Place],tblRisk[Lookup],tblRiskTreatmentPrograms[[#This Row],[Lookup]])</f>
        <v>0</v>
      </c>
      <c r="S14" s="33" t="e">
        <f>tblRiskTreatmentPrograms[[#This Row],[Tgt Avg Maturity]]-tblRiskTreatmentPrograms[[#This Row],[Avg Maturity]]</f>
        <v>#DIV/0!</v>
      </c>
      <c r="T14" s="33">
        <f>tblRiskTreatmentPrograms[[#This Row],[Max]]-tblRiskTreatmentPrograms[[#This Row],[Tgt Max]]</f>
        <v>0</v>
      </c>
      <c r="U14" s="33" t="e">
        <f>tblRiskTreatmentPrograms[[#This Row],[Avg]]-tblRiskTreatmentPrograms[[#This Row],[Tgt Avg]]</f>
        <v>#DIV/0!</v>
      </c>
      <c r="V14" s="33">
        <f>tblRiskTreatmentPrograms[[#This Row],[Sum]]-tblRiskTreatmentPrograms[[#This Row],[Tgt Sum]]</f>
        <v>0</v>
      </c>
      <c r="W14" s="33"/>
      <c r="X14" s="109" t="s">
        <v>1055</v>
      </c>
      <c r="Y14" s="109" t="s">
        <v>1055</v>
      </c>
    </row>
    <row r="15" spans="2:25" ht="128.25" x14ac:dyDescent="0.45">
      <c r="B15" s="33" t="s">
        <v>13</v>
      </c>
      <c r="C15" s="33" t="s">
        <v>88</v>
      </c>
      <c r="D15" s="33"/>
      <c r="E15" s="33" t="str">
        <f>tblRiskTreatmentPrograms[[#This Row],[Common Security Program]]&amp;tblRiskTreatmentPrograms[[#This Row],[Common Security Control]]&amp;tblRiskTreatmentPrograms[[#This Row],[Asset Designation]]</f>
        <v>Incident ResponseOperation</v>
      </c>
      <c r="F15" s="33" t="s">
        <v>169</v>
      </c>
      <c r="G15" s="33" t="s">
        <v>668</v>
      </c>
      <c r="H15" s="33"/>
      <c r="I15" s="33">
        <f>COUNTIFS(tblRisk[Lookup],tblRiskTreatmentPrograms[[#This Row],[Lookup]])</f>
        <v>0</v>
      </c>
      <c r="J15" s="33" t="e">
        <f>AVERAGEIFS(tblRisk[Control Maturity],tblRisk[Lookup],tblRiskTreatmentPrograms[[#This Row],[Lookup]])</f>
        <v>#DIV/0!</v>
      </c>
      <c r="K15" s="33">
        <f>_xlfn.MAXIFS(tblRisk[Risk Score],tblRisk[Lookup],tblRiskTreatmentPrograms[[#This Row],[Lookup]])</f>
        <v>0</v>
      </c>
      <c r="L15" s="33" t="e">
        <f>AVERAGEIFS(tblRisk[Risk Score],tblRisk[Lookup],tblRiskTreatmentPrograms[[#This Row],[Lookup]])</f>
        <v>#DIV/0!</v>
      </c>
      <c r="M15" s="33">
        <f>SUMIFS(tblRisk[Risk Score],tblRisk[Lookup],tblRiskTreatmentPrograms[[#This Row],[Lookup]])</f>
        <v>0</v>
      </c>
      <c r="N15" s="33">
        <f>SUMIFS(tblRisk[Current Level of Risk],tblRisk[Lookup],tblRiskTreatmentPrograms[[#This Row],[Lookup]])</f>
        <v>0</v>
      </c>
      <c r="O15" s="33" t="e">
        <f>AVERAGEIFS(tblRisk[Control Maturity after SG],tblRisk[Lookup],tblRiskTreatmentPrograms[[#This Row],[Lookup]])</f>
        <v>#DIV/0!</v>
      </c>
      <c r="P15" s="33">
        <f>_xlfn.MAXIFS(tblRisk[Risk Score With Safeguard in Place],tblRisk[Lookup],tblRiskTreatmentPrograms[[#This Row],[Lookup]])</f>
        <v>0</v>
      </c>
      <c r="Q15" s="33" t="e">
        <f>AVERAGEIFS(tblRisk[Risk Score With Safeguard in Place],tblRisk[Lookup],tblRiskTreatmentPrograms[[#This Row],[Lookup]])</f>
        <v>#DIV/0!</v>
      </c>
      <c r="R15" s="33">
        <f>SUMIFS(tblRisk[Risk Score With Safeguard in Place],tblRisk[Lookup],tblRiskTreatmentPrograms[[#This Row],[Lookup]])</f>
        <v>0</v>
      </c>
      <c r="S15" s="33" t="e">
        <f>tblRiskTreatmentPrograms[[#This Row],[Tgt Avg Maturity]]-tblRiskTreatmentPrograms[[#This Row],[Avg Maturity]]</f>
        <v>#DIV/0!</v>
      </c>
      <c r="T15" s="33">
        <f>tblRiskTreatmentPrograms[[#This Row],[Max]]-tblRiskTreatmentPrograms[[#This Row],[Tgt Max]]</f>
        <v>0</v>
      </c>
      <c r="U15" s="33" t="e">
        <f>tblRiskTreatmentPrograms[[#This Row],[Avg]]-tblRiskTreatmentPrograms[[#This Row],[Tgt Avg]]</f>
        <v>#DIV/0!</v>
      </c>
      <c r="V15" s="33">
        <f>tblRiskTreatmentPrograms[[#This Row],[Sum]]-tblRiskTreatmentPrograms[[#This Row],[Tgt Sum]]</f>
        <v>0</v>
      </c>
      <c r="W15" s="33"/>
      <c r="X15" s="109" t="s">
        <v>1055</v>
      </c>
      <c r="Y15" s="109" t="s">
        <v>1055</v>
      </c>
    </row>
    <row r="16" spans="2:25" ht="285" x14ac:dyDescent="0.45">
      <c r="B16" s="33" t="s">
        <v>14</v>
      </c>
      <c r="C16" s="33" t="s">
        <v>86</v>
      </c>
      <c r="D16" s="33"/>
      <c r="E16" s="33" t="str">
        <f>tblRiskTreatmentPrograms[[#This Row],[Common Security Program]]&amp;tblRiskTreatmentPrograms[[#This Row],[Common Security Control]]&amp;tblRiskTreatmentPrograms[[#This Row],[Asset Designation]]</f>
        <v>BC/DRGovernance</v>
      </c>
      <c r="F16" s="33" t="s">
        <v>94</v>
      </c>
      <c r="G16" s="33" t="s">
        <v>669</v>
      </c>
      <c r="H16" s="33"/>
      <c r="I16" s="33">
        <f>COUNTIFS(tblRisk[Lookup],tblRiskTreatmentPrograms[[#This Row],[Lookup]])</f>
        <v>0</v>
      </c>
      <c r="J16" s="33" t="e">
        <f>AVERAGEIFS(tblRisk[Control Maturity],tblRisk[Lookup],tblRiskTreatmentPrograms[[#This Row],[Lookup]])</f>
        <v>#DIV/0!</v>
      </c>
      <c r="K16" s="33">
        <f>_xlfn.MAXIFS(tblRisk[Risk Score],tblRisk[Lookup],tblRiskTreatmentPrograms[[#This Row],[Lookup]])</f>
        <v>0</v>
      </c>
      <c r="L16" s="33" t="e">
        <f>AVERAGEIFS(tblRisk[Risk Score],tblRisk[Lookup],tblRiskTreatmentPrograms[[#This Row],[Lookup]])</f>
        <v>#DIV/0!</v>
      </c>
      <c r="M16" s="33">
        <f>SUMIFS(tblRisk[Risk Score],tblRisk[Lookup],tblRiskTreatmentPrograms[[#This Row],[Lookup]])</f>
        <v>0</v>
      </c>
      <c r="N16" s="33">
        <f>SUMIFS(tblRisk[Current Level of Risk],tblRisk[Lookup],tblRiskTreatmentPrograms[[#This Row],[Lookup]])</f>
        <v>0</v>
      </c>
      <c r="O16" s="33" t="e">
        <f>AVERAGEIFS(tblRisk[Control Maturity after SG],tblRisk[Lookup],tblRiskTreatmentPrograms[[#This Row],[Lookup]])</f>
        <v>#DIV/0!</v>
      </c>
      <c r="P16" s="33">
        <f>_xlfn.MAXIFS(tblRisk[Risk Score With Safeguard in Place],tblRisk[Lookup],tblRiskTreatmentPrograms[[#This Row],[Lookup]])</f>
        <v>0</v>
      </c>
      <c r="Q16" s="33" t="e">
        <f>AVERAGEIFS(tblRisk[Risk Score With Safeguard in Place],tblRisk[Lookup],tblRiskTreatmentPrograms[[#This Row],[Lookup]])</f>
        <v>#DIV/0!</v>
      </c>
      <c r="R16" s="33">
        <f>SUMIFS(tblRisk[Risk Score With Safeguard in Place],tblRisk[Lookup],tblRiskTreatmentPrograms[[#This Row],[Lookup]])</f>
        <v>0</v>
      </c>
      <c r="S16" s="33" t="e">
        <f>tblRiskTreatmentPrograms[[#This Row],[Tgt Avg Maturity]]-tblRiskTreatmentPrograms[[#This Row],[Avg Maturity]]</f>
        <v>#DIV/0!</v>
      </c>
      <c r="T16" s="33">
        <f>tblRiskTreatmentPrograms[[#This Row],[Max]]-tblRiskTreatmentPrograms[[#This Row],[Tgt Max]]</f>
        <v>0</v>
      </c>
      <c r="U16" s="33" t="e">
        <f>tblRiskTreatmentPrograms[[#This Row],[Avg]]-tblRiskTreatmentPrograms[[#This Row],[Tgt Avg]]</f>
        <v>#DIV/0!</v>
      </c>
      <c r="V16" s="33">
        <f>tblRiskTreatmentPrograms[[#This Row],[Sum]]-tblRiskTreatmentPrograms[[#This Row],[Tgt Sum]]</f>
        <v>0</v>
      </c>
      <c r="W16" s="33"/>
      <c r="X16" s="109" t="s">
        <v>1055</v>
      </c>
      <c r="Y16" s="109" t="s">
        <v>1055</v>
      </c>
    </row>
    <row r="17" spans="2:25" ht="99.75" x14ac:dyDescent="0.45">
      <c r="B17" s="33" t="s">
        <v>14</v>
      </c>
      <c r="C17" s="33" t="s">
        <v>88</v>
      </c>
      <c r="D17" s="33"/>
      <c r="E17" s="33" t="str">
        <f>tblRiskTreatmentPrograms[[#This Row],[Common Security Program]]&amp;tblRiskTreatmentPrograms[[#This Row],[Common Security Control]]&amp;tblRiskTreatmentPrograms[[#This Row],[Asset Designation]]</f>
        <v>BC/DROperation</v>
      </c>
      <c r="F17" s="33" t="s">
        <v>95</v>
      </c>
      <c r="G17" s="33" t="s">
        <v>670</v>
      </c>
      <c r="H17" s="33"/>
      <c r="I17" s="33">
        <f>COUNTIFS(tblRisk[Lookup],tblRiskTreatmentPrograms[[#This Row],[Lookup]])</f>
        <v>0</v>
      </c>
      <c r="J17" s="33" t="e">
        <f>AVERAGEIFS(tblRisk[Control Maturity],tblRisk[Lookup],tblRiskTreatmentPrograms[[#This Row],[Lookup]])</f>
        <v>#DIV/0!</v>
      </c>
      <c r="K17" s="33">
        <f>_xlfn.MAXIFS(tblRisk[Risk Score],tblRisk[Lookup],tblRiskTreatmentPrograms[[#This Row],[Lookup]])</f>
        <v>0</v>
      </c>
      <c r="L17" s="33" t="e">
        <f>AVERAGEIFS(tblRisk[Risk Score],tblRisk[Lookup],tblRiskTreatmentPrograms[[#This Row],[Lookup]])</f>
        <v>#DIV/0!</v>
      </c>
      <c r="M17" s="33">
        <f>SUMIFS(tblRisk[Risk Score],tblRisk[Lookup],tblRiskTreatmentPrograms[[#This Row],[Lookup]])</f>
        <v>0</v>
      </c>
      <c r="N17" s="33">
        <f>SUMIFS(tblRisk[Current Level of Risk],tblRisk[Lookup],tblRiskTreatmentPrograms[[#This Row],[Lookup]])</f>
        <v>0</v>
      </c>
      <c r="O17" s="33" t="e">
        <f>AVERAGEIFS(tblRisk[Control Maturity after SG],tblRisk[Lookup],tblRiskTreatmentPrograms[[#This Row],[Lookup]])</f>
        <v>#DIV/0!</v>
      </c>
      <c r="P17" s="33">
        <f>_xlfn.MAXIFS(tblRisk[Risk Score With Safeguard in Place],tblRisk[Lookup],tblRiskTreatmentPrograms[[#This Row],[Lookup]])</f>
        <v>0</v>
      </c>
      <c r="Q17" s="33" t="e">
        <f>AVERAGEIFS(tblRisk[Risk Score With Safeguard in Place],tblRisk[Lookup],tblRiskTreatmentPrograms[[#This Row],[Lookup]])</f>
        <v>#DIV/0!</v>
      </c>
      <c r="R17" s="33">
        <f>SUMIFS(tblRisk[Risk Score With Safeguard in Place],tblRisk[Lookup],tblRiskTreatmentPrograms[[#This Row],[Lookup]])</f>
        <v>0</v>
      </c>
      <c r="S17" s="33" t="e">
        <f>tblRiskTreatmentPrograms[[#This Row],[Tgt Avg Maturity]]-tblRiskTreatmentPrograms[[#This Row],[Avg Maturity]]</f>
        <v>#DIV/0!</v>
      </c>
      <c r="T17" s="33">
        <f>tblRiskTreatmentPrograms[[#This Row],[Max]]-tblRiskTreatmentPrograms[[#This Row],[Tgt Max]]</f>
        <v>0</v>
      </c>
      <c r="U17" s="33" t="e">
        <f>tblRiskTreatmentPrograms[[#This Row],[Avg]]-tblRiskTreatmentPrograms[[#This Row],[Tgt Avg]]</f>
        <v>#DIV/0!</v>
      </c>
      <c r="V17" s="33">
        <f>tblRiskTreatmentPrograms[[#This Row],[Sum]]-tblRiskTreatmentPrograms[[#This Row],[Tgt Sum]]</f>
        <v>0</v>
      </c>
      <c r="W17" s="33"/>
      <c r="X17" s="109" t="s">
        <v>1055</v>
      </c>
      <c r="Y17" s="109" t="s">
        <v>1055</v>
      </c>
    </row>
    <row r="18" spans="2:25" ht="171" x14ac:dyDescent="0.45">
      <c r="B18" s="33" t="s">
        <v>15</v>
      </c>
      <c r="C18" s="33" t="s">
        <v>86</v>
      </c>
      <c r="D18" s="33"/>
      <c r="E18" s="33" t="str">
        <f>tblRiskTreatmentPrograms[[#This Row],[Common Security Program]]&amp;tblRiskTreatmentPrograms[[#This Row],[Common Security Control]]&amp;tblRiskTreatmentPrograms[[#This Row],[Asset Designation]]</f>
        <v>Change ControlGovernance</v>
      </c>
      <c r="F18" s="33" t="s">
        <v>170</v>
      </c>
      <c r="G18" s="33" t="s">
        <v>671</v>
      </c>
      <c r="H18" s="33"/>
      <c r="I18" s="33">
        <f>COUNTIFS(tblRisk[Lookup],tblRiskTreatmentPrograms[[#This Row],[Lookup]])</f>
        <v>0</v>
      </c>
      <c r="J18" s="33" t="e">
        <f>AVERAGEIFS(tblRisk[Control Maturity],tblRisk[Lookup],tblRiskTreatmentPrograms[[#This Row],[Lookup]])</f>
        <v>#DIV/0!</v>
      </c>
      <c r="K18" s="33">
        <f>_xlfn.MAXIFS(tblRisk[Risk Score],tblRisk[Lookup],tblRiskTreatmentPrograms[[#This Row],[Lookup]])</f>
        <v>0</v>
      </c>
      <c r="L18" s="33" t="e">
        <f>AVERAGEIFS(tblRisk[Risk Score],tblRisk[Lookup],tblRiskTreatmentPrograms[[#This Row],[Lookup]])</f>
        <v>#DIV/0!</v>
      </c>
      <c r="M18" s="33">
        <f>SUMIFS(tblRisk[Risk Score],tblRisk[Lookup],tblRiskTreatmentPrograms[[#This Row],[Lookup]])</f>
        <v>0</v>
      </c>
      <c r="N18" s="33">
        <f>SUMIFS(tblRisk[Current Level of Risk],tblRisk[Lookup],tblRiskTreatmentPrograms[[#This Row],[Lookup]])</f>
        <v>0</v>
      </c>
      <c r="O18" s="33" t="e">
        <f>AVERAGEIFS(tblRisk[Control Maturity after SG],tblRisk[Lookup],tblRiskTreatmentPrograms[[#This Row],[Lookup]])</f>
        <v>#DIV/0!</v>
      </c>
      <c r="P18" s="33">
        <f>_xlfn.MAXIFS(tblRisk[Risk Score With Safeguard in Place],tblRisk[Lookup],tblRiskTreatmentPrograms[[#This Row],[Lookup]])</f>
        <v>0</v>
      </c>
      <c r="Q18" s="33" t="e">
        <f>AVERAGEIFS(tblRisk[Risk Score With Safeguard in Place],tblRisk[Lookup],tblRiskTreatmentPrograms[[#This Row],[Lookup]])</f>
        <v>#DIV/0!</v>
      </c>
      <c r="R18" s="33">
        <f>SUMIFS(tblRisk[Risk Score With Safeguard in Place],tblRisk[Lookup],tblRiskTreatmentPrograms[[#This Row],[Lookup]])</f>
        <v>0</v>
      </c>
      <c r="S18" s="33" t="e">
        <f>tblRiskTreatmentPrograms[[#This Row],[Tgt Avg Maturity]]-tblRiskTreatmentPrograms[[#This Row],[Avg Maturity]]</f>
        <v>#DIV/0!</v>
      </c>
      <c r="T18" s="33">
        <f>tblRiskTreatmentPrograms[[#This Row],[Max]]-tblRiskTreatmentPrograms[[#This Row],[Tgt Max]]</f>
        <v>0</v>
      </c>
      <c r="U18" s="33" t="e">
        <f>tblRiskTreatmentPrograms[[#This Row],[Avg]]-tblRiskTreatmentPrograms[[#This Row],[Tgt Avg]]</f>
        <v>#DIV/0!</v>
      </c>
      <c r="V18" s="33">
        <f>tblRiskTreatmentPrograms[[#This Row],[Sum]]-tblRiskTreatmentPrograms[[#This Row],[Tgt Sum]]</f>
        <v>0</v>
      </c>
      <c r="W18" s="33"/>
      <c r="X18" s="109" t="s">
        <v>1055</v>
      </c>
      <c r="Y18" s="109" t="s">
        <v>1055</v>
      </c>
    </row>
    <row r="19" spans="2:25" ht="57" x14ac:dyDescent="0.45">
      <c r="B19" s="33" t="s">
        <v>15</v>
      </c>
      <c r="C19" s="33" t="s">
        <v>88</v>
      </c>
      <c r="D19" s="33"/>
      <c r="E19" s="33" t="str">
        <f>tblRiskTreatmentPrograms[[#This Row],[Common Security Program]]&amp;tblRiskTreatmentPrograms[[#This Row],[Common Security Control]]&amp;tblRiskTreatmentPrograms[[#This Row],[Asset Designation]]</f>
        <v>Change ControlOperation</v>
      </c>
      <c r="F19" s="33" t="s">
        <v>171</v>
      </c>
      <c r="G19" s="33" t="s">
        <v>672</v>
      </c>
      <c r="H19" s="33"/>
      <c r="I19" s="33">
        <f>COUNTIFS(tblRisk[Lookup],tblRiskTreatmentPrograms[[#This Row],[Lookup]])</f>
        <v>0</v>
      </c>
      <c r="J19" s="33" t="e">
        <f>AVERAGEIFS(tblRisk[Control Maturity],tblRisk[Lookup],tblRiskTreatmentPrograms[[#This Row],[Lookup]])</f>
        <v>#DIV/0!</v>
      </c>
      <c r="K19" s="33">
        <f>_xlfn.MAXIFS(tblRisk[Risk Score],tblRisk[Lookup],tblRiskTreatmentPrograms[[#This Row],[Lookup]])</f>
        <v>0</v>
      </c>
      <c r="L19" s="33" t="e">
        <f>AVERAGEIFS(tblRisk[Risk Score],tblRisk[Lookup],tblRiskTreatmentPrograms[[#This Row],[Lookup]])</f>
        <v>#DIV/0!</v>
      </c>
      <c r="M19" s="33">
        <f>SUMIFS(tblRisk[Risk Score],tblRisk[Lookup],tblRiskTreatmentPrograms[[#This Row],[Lookup]])</f>
        <v>0</v>
      </c>
      <c r="N19" s="33">
        <f>SUMIFS(tblRisk[Current Level of Risk],tblRisk[Lookup],tblRiskTreatmentPrograms[[#This Row],[Lookup]])</f>
        <v>0</v>
      </c>
      <c r="O19" s="33" t="e">
        <f>AVERAGEIFS(tblRisk[Control Maturity after SG],tblRisk[Lookup],tblRiskTreatmentPrograms[[#This Row],[Lookup]])</f>
        <v>#DIV/0!</v>
      </c>
      <c r="P19" s="33">
        <f>_xlfn.MAXIFS(tblRisk[Risk Score With Safeguard in Place],tblRisk[Lookup],tblRiskTreatmentPrograms[[#This Row],[Lookup]])</f>
        <v>0</v>
      </c>
      <c r="Q19" s="33" t="e">
        <f>AVERAGEIFS(tblRisk[Risk Score With Safeguard in Place],tblRisk[Lookup],tblRiskTreatmentPrograms[[#This Row],[Lookup]])</f>
        <v>#DIV/0!</v>
      </c>
      <c r="R19" s="33">
        <f>SUMIFS(tblRisk[Risk Score With Safeguard in Place],tblRisk[Lookup],tblRiskTreatmentPrograms[[#This Row],[Lookup]])</f>
        <v>0</v>
      </c>
      <c r="S19" s="33" t="e">
        <f>tblRiskTreatmentPrograms[[#This Row],[Tgt Avg Maturity]]-tblRiskTreatmentPrograms[[#This Row],[Avg Maturity]]</f>
        <v>#DIV/0!</v>
      </c>
      <c r="T19" s="33">
        <f>tblRiskTreatmentPrograms[[#This Row],[Max]]-tblRiskTreatmentPrograms[[#This Row],[Tgt Max]]</f>
        <v>0</v>
      </c>
      <c r="U19" s="33" t="e">
        <f>tblRiskTreatmentPrograms[[#This Row],[Avg]]-tblRiskTreatmentPrograms[[#This Row],[Tgt Avg]]</f>
        <v>#DIV/0!</v>
      </c>
      <c r="V19" s="33">
        <f>tblRiskTreatmentPrograms[[#This Row],[Sum]]-tblRiskTreatmentPrograms[[#This Row],[Tgt Sum]]</f>
        <v>0</v>
      </c>
      <c r="W19" s="33"/>
      <c r="X19" s="109" t="s">
        <v>1055</v>
      </c>
      <c r="Y19" s="109" t="s">
        <v>1055</v>
      </c>
    </row>
    <row r="20" spans="2:25" ht="213.75" x14ac:dyDescent="0.45">
      <c r="B20" s="33" t="s">
        <v>16</v>
      </c>
      <c r="C20" s="33" t="s">
        <v>86</v>
      </c>
      <c r="D20" s="33"/>
      <c r="E20" s="33" t="str">
        <f>tblRiskTreatmentPrograms[[#This Row],[Common Security Program]]&amp;tblRiskTreatmentPrograms[[#This Row],[Common Security Control]]&amp;tblRiskTreatmentPrograms[[#This Row],[Asset Designation]]</f>
        <v>Secure Application DevelopmentGovernance</v>
      </c>
      <c r="F20" s="33" t="s">
        <v>172</v>
      </c>
      <c r="G20" s="33" t="s">
        <v>673</v>
      </c>
      <c r="H20" s="33"/>
      <c r="I20" s="33">
        <f>COUNTIFS(tblRisk[Lookup],tblRiskTreatmentPrograms[[#This Row],[Lookup]])</f>
        <v>0</v>
      </c>
      <c r="J20" s="33" t="e">
        <f>AVERAGEIFS(tblRisk[Control Maturity],tblRisk[Lookup],tblRiskTreatmentPrograms[[#This Row],[Lookup]])</f>
        <v>#DIV/0!</v>
      </c>
      <c r="K20" s="33">
        <f>_xlfn.MAXIFS(tblRisk[Risk Score],tblRisk[Lookup],tblRiskTreatmentPrograms[[#This Row],[Lookup]])</f>
        <v>0</v>
      </c>
      <c r="L20" s="33" t="e">
        <f>AVERAGEIFS(tblRisk[Risk Score],tblRisk[Lookup],tblRiskTreatmentPrograms[[#This Row],[Lookup]])</f>
        <v>#DIV/0!</v>
      </c>
      <c r="M20" s="33">
        <f>SUMIFS(tblRisk[Risk Score],tblRisk[Lookup],tblRiskTreatmentPrograms[[#This Row],[Lookup]])</f>
        <v>0</v>
      </c>
      <c r="N20" s="33">
        <f>SUMIFS(tblRisk[Current Level of Risk],tblRisk[Lookup],tblRiskTreatmentPrograms[[#This Row],[Lookup]])</f>
        <v>0</v>
      </c>
      <c r="O20" s="33" t="e">
        <f>AVERAGEIFS(tblRisk[Control Maturity after SG],tblRisk[Lookup],tblRiskTreatmentPrograms[[#This Row],[Lookup]])</f>
        <v>#DIV/0!</v>
      </c>
      <c r="P20" s="33">
        <f>_xlfn.MAXIFS(tblRisk[Risk Score With Safeguard in Place],tblRisk[Lookup],tblRiskTreatmentPrograms[[#This Row],[Lookup]])</f>
        <v>0</v>
      </c>
      <c r="Q20" s="33" t="e">
        <f>AVERAGEIFS(tblRisk[Risk Score With Safeguard in Place],tblRisk[Lookup],tblRiskTreatmentPrograms[[#This Row],[Lookup]])</f>
        <v>#DIV/0!</v>
      </c>
      <c r="R20" s="33">
        <f>SUMIFS(tblRisk[Risk Score With Safeguard in Place],tblRisk[Lookup],tblRiskTreatmentPrograms[[#This Row],[Lookup]])</f>
        <v>0</v>
      </c>
      <c r="S20" s="33" t="e">
        <f>tblRiskTreatmentPrograms[[#This Row],[Tgt Avg Maturity]]-tblRiskTreatmentPrograms[[#This Row],[Avg Maturity]]</f>
        <v>#DIV/0!</v>
      </c>
      <c r="T20" s="33">
        <f>tblRiskTreatmentPrograms[[#This Row],[Max]]-tblRiskTreatmentPrograms[[#This Row],[Tgt Max]]</f>
        <v>0</v>
      </c>
      <c r="U20" s="33" t="e">
        <f>tblRiskTreatmentPrograms[[#This Row],[Avg]]-tblRiskTreatmentPrograms[[#This Row],[Tgt Avg]]</f>
        <v>#DIV/0!</v>
      </c>
      <c r="V20" s="33">
        <f>tblRiskTreatmentPrograms[[#This Row],[Sum]]-tblRiskTreatmentPrograms[[#This Row],[Tgt Sum]]</f>
        <v>0</v>
      </c>
      <c r="W20" s="33"/>
      <c r="X20" s="109" t="s">
        <v>1055</v>
      </c>
      <c r="Y20" s="109" t="s">
        <v>1055</v>
      </c>
    </row>
    <row r="21" spans="2:25" ht="171" x14ac:dyDescent="0.45">
      <c r="B21" s="33" t="s">
        <v>16</v>
      </c>
      <c r="C21" s="33" t="s">
        <v>88</v>
      </c>
      <c r="D21" s="33"/>
      <c r="E21" s="33" t="str">
        <f>tblRiskTreatmentPrograms[[#This Row],[Common Security Program]]&amp;tblRiskTreatmentPrograms[[#This Row],[Common Security Control]]&amp;tblRiskTreatmentPrograms[[#This Row],[Asset Designation]]</f>
        <v>Secure Application DevelopmentOperation</v>
      </c>
      <c r="F21" s="33" t="s">
        <v>97</v>
      </c>
      <c r="G21" s="33" t="s">
        <v>674</v>
      </c>
      <c r="H21" s="33"/>
      <c r="I21" s="33">
        <f>COUNTIFS(tblRisk[Lookup],tblRiskTreatmentPrograms[[#This Row],[Lookup]])</f>
        <v>0</v>
      </c>
      <c r="J21" s="33" t="e">
        <f>AVERAGEIFS(tblRisk[Control Maturity],tblRisk[Lookup],tblRiskTreatmentPrograms[[#This Row],[Lookup]])</f>
        <v>#DIV/0!</v>
      </c>
      <c r="K21" s="33">
        <f>_xlfn.MAXIFS(tblRisk[Risk Score],tblRisk[Lookup],tblRiskTreatmentPrograms[[#This Row],[Lookup]])</f>
        <v>0</v>
      </c>
      <c r="L21" s="33" t="e">
        <f>AVERAGEIFS(tblRisk[Risk Score],tblRisk[Lookup],tblRiskTreatmentPrograms[[#This Row],[Lookup]])</f>
        <v>#DIV/0!</v>
      </c>
      <c r="M21" s="33">
        <f>SUMIFS(tblRisk[Risk Score],tblRisk[Lookup],tblRiskTreatmentPrograms[[#This Row],[Lookup]])</f>
        <v>0</v>
      </c>
      <c r="N21" s="33">
        <f>SUMIFS(tblRisk[Current Level of Risk],tblRisk[Lookup],tblRiskTreatmentPrograms[[#This Row],[Lookup]])</f>
        <v>0</v>
      </c>
      <c r="O21" s="33" t="e">
        <f>AVERAGEIFS(tblRisk[Control Maturity after SG],tblRisk[Lookup],tblRiskTreatmentPrograms[[#This Row],[Lookup]])</f>
        <v>#DIV/0!</v>
      </c>
      <c r="P21" s="33">
        <f>_xlfn.MAXIFS(tblRisk[Risk Score With Safeguard in Place],tblRisk[Lookup],tblRiskTreatmentPrograms[[#This Row],[Lookup]])</f>
        <v>0</v>
      </c>
      <c r="Q21" s="33" t="e">
        <f>AVERAGEIFS(tblRisk[Risk Score With Safeguard in Place],tblRisk[Lookup],tblRiskTreatmentPrograms[[#This Row],[Lookup]])</f>
        <v>#DIV/0!</v>
      </c>
      <c r="R21" s="33">
        <f>SUMIFS(tblRisk[Risk Score With Safeguard in Place],tblRisk[Lookup],tblRiskTreatmentPrograms[[#This Row],[Lookup]])</f>
        <v>0</v>
      </c>
      <c r="S21" s="33" t="e">
        <f>tblRiskTreatmentPrograms[[#This Row],[Tgt Avg Maturity]]-tblRiskTreatmentPrograms[[#This Row],[Avg Maturity]]</f>
        <v>#DIV/0!</v>
      </c>
      <c r="T21" s="33">
        <f>tblRiskTreatmentPrograms[[#This Row],[Max]]-tblRiskTreatmentPrograms[[#This Row],[Tgt Max]]</f>
        <v>0</v>
      </c>
      <c r="U21" s="33" t="e">
        <f>tblRiskTreatmentPrograms[[#This Row],[Avg]]-tblRiskTreatmentPrograms[[#This Row],[Tgt Avg]]</f>
        <v>#DIV/0!</v>
      </c>
      <c r="V21" s="33">
        <f>tblRiskTreatmentPrograms[[#This Row],[Sum]]-tblRiskTreatmentPrograms[[#This Row],[Tgt Sum]]</f>
        <v>0</v>
      </c>
      <c r="W21" s="33"/>
      <c r="X21" s="109" t="s">
        <v>1055</v>
      </c>
      <c r="Y21" s="109" t="s">
        <v>1055</v>
      </c>
    </row>
    <row r="22" spans="2:25" ht="114" x14ac:dyDescent="0.45">
      <c r="B22" s="33" t="s">
        <v>17</v>
      </c>
      <c r="C22" s="33" t="s">
        <v>86</v>
      </c>
      <c r="D22" s="33"/>
      <c r="E22" s="33" t="str">
        <f>tblRiskTreatmentPrograms[[#This Row],[Common Security Program]]&amp;tblRiskTreatmentPrograms[[#This Row],[Common Security Control]]&amp;tblRiskTreatmentPrograms[[#This Row],[Asset Designation]]</f>
        <v>Asset ManagementGovernance</v>
      </c>
      <c r="F22" s="33" t="s">
        <v>173</v>
      </c>
      <c r="G22" s="33" t="s">
        <v>675</v>
      </c>
      <c r="H22" s="33"/>
      <c r="I22" s="33">
        <f>COUNTIFS(tblRisk[Lookup],tblRiskTreatmentPrograms[[#This Row],[Lookup]])</f>
        <v>0</v>
      </c>
      <c r="J22" s="33" t="e">
        <f>AVERAGEIFS(tblRisk[Control Maturity],tblRisk[Lookup],tblRiskTreatmentPrograms[[#This Row],[Lookup]])</f>
        <v>#DIV/0!</v>
      </c>
      <c r="K22" s="33">
        <f>_xlfn.MAXIFS(tblRisk[Risk Score],tblRisk[Lookup],tblRiskTreatmentPrograms[[#This Row],[Lookup]])</f>
        <v>0</v>
      </c>
      <c r="L22" s="33" t="e">
        <f>AVERAGEIFS(tblRisk[Risk Score],tblRisk[Lookup],tblRiskTreatmentPrograms[[#This Row],[Lookup]])</f>
        <v>#DIV/0!</v>
      </c>
      <c r="M22" s="33">
        <f>SUMIFS(tblRisk[Risk Score],tblRisk[Lookup],tblRiskTreatmentPrograms[[#This Row],[Lookup]])</f>
        <v>0</v>
      </c>
      <c r="N22" s="33">
        <f>SUMIFS(tblRisk[Current Level of Risk],tblRisk[Lookup],tblRiskTreatmentPrograms[[#This Row],[Lookup]])</f>
        <v>0</v>
      </c>
      <c r="O22" s="33" t="e">
        <f>AVERAGEIFS(tblRisk[Control Maturity after SG],tblRisk[Lookup],tblRiskTreatmentPrograms[[#This Row],[Lookup]])</f>
        <v>#DIV/0!</v>
      </c>
      <c r="P22" s="33">
        <f>_xlfn.MAXIFS(tblRisk[Risk Score With Safeguard in Place],tblRisk[Lookup],tblRiskTreatmentPrograms[[#This Row],[Lookup]])</f>
        <v>0</v>
      </c>
      <c r="Q22" s="33" t="e">
        <f>AVERAGEIFS(tblRisk[Risk Score With Safeguard in Place],tblRisk[Lookup],tblRiskTreatmentPrograms[[#This Row],[Lookup]])</f>
        <v>#DIV/0!</v>
      </c>
      <c r="R22" s="33">
        <f>SUMIFS(tblRisk[Risk Score With Safeguard in Place],tblRisk[Lookup],tblRiskTreatmentPrograms[[#This Row],[Lookup]])</f>
        <v>0</v>
      </c>
      <c r="S22" s="33" t="e">
        <f>tblRiskTreatmentPrograms[[#This Row],[Tgt Avg Maturity]]-tblRiskTreatmentPrograms[[#This Row],[Avg Maturity]]</f>
        <v>#DIV/0!</v>
      </c>
      <c r="T22" s="33">
        <f>tblRiskTreatmentPrograms[[#This Row],[Max]]-tblRiskTreatmentPrograms[[#This Row],[Tgt Max]]</f>
        <v>0</v>
      </c>
      <c r="U22" s="33" t="e">
        <f>tblRiskTreatmentPrograms[[#This Row],[Avg]]-tblRiskTreatmentPrograms[[#This Row],[Tgt Avg]]</f>
        <v>#DIV/0!</v>
      </c>
      <c r="V22" s="33">
        <f>tblRiskTreatmentPrograms[[#This Row],[Sum]]-tblRiskTreatmentPrograms[[#This Row],[Tgt Sum]]</f>
        <v>0</v>
      </c>
      <c r="W22" s="33"/>
      <c r="X22" s="109" t="s">
        <v>1055</v>
      </c>
      <c r="Y22" s="109" t="s">
        <v>1055</v>
      </c>
    </row>
    <row r="23" spans="2:25" ht="85.5" x14ac:dyDescent="0.45">
      <c r="B23" s="33" t="s">
        <v>17</v>
      </c>
      <c r="C23" s="33" t="s">
        <v>88</v>
      </c>
      <c r="D23" s="33"/>
      <c r="E23" s="33" t="str">
        <f>tblRiskTreatmentPrograms[[#This Row],[Common Security Program]]&amp;tblRiskTreatmentPrograms[[#This Row],[Common Security Control]]&amp;tblRiskTreatmentPrograms[[#This Row],[Asset Designation]]</f>
        <v>Asset ManagementOperation</v>
      </c>
      <c r="F23" s="33" t="s">
        <v>98</v>
      </c>
      <c r="G23" s="33" t="s">
        <v>676</v>
      </c>
      <c r="H23" s="33"/>
      <c r="I23" s="33">
        <f>COUNTIFS(tblRisk[Lookup],tblRiskTreatmentPrograms[[#This Row],[Lookup]])</f>
        <v>0</v>
      </c>
      <c r="J23" s="33" t="e">
        <f>AVERAGEIFS(tblRisk[Control Maturity],tblRisk[Lookup],tblRiskTreatmentPrograms[[#This Row],[Lookup]])</f>
        <v>#DIV/0!</v>
      </c>
      <c r="K23" s="33">
        <f>_xlfn.MAXIFS(tblRisk[Risk Score],tblRisk[Lookup],tblRiskTreatmentPrograms[[#This Row],[Lookup]])</f>
        <v>0</v>
      </c>
      <c r="L23" s="33" t="e">
        <f>AVERAGEIFS(tblRisk[Risk Score],tblRisk[Lookup],tblRiskTreatmentPrograms[[#This Row],[Lookup]])</f>
        <v>#DIV/0!</v>
      </c>
      <c r="M23" s="33">
        <f>SUMIFS(tblRisk[Risk Score],tblRisk[Lookup],tblRiskTreatmentPrograms[[#This Row],[Lookup]])</f>
        <v>0</v>
      </c>
      <c r="N23" s="33">
        <f>SUMIFS(tblRisk[Current Level of Risk],tblRisk[Lookup],tblRiskTreatmentPrograms[[#This Row],[Lookup]])</f>
        <v>0</v>
      </c>
      <c r="O23" s="33" t="e">
        <f>AVERAGEIFS(tblRisk[Control Maturity after SG],tblRisk[Lookup],tblRiskTreatmentPrograms[[#This Row],[Lookup]])</f>
        <v>#DIV/0!</v>
      </c>
      <c r="P23" s="33">
        <f>_xlfn.MAXIFS(tblRisk[Risk Score With Safeguard in Place],tblRisk[Lookup],tblRiskTreatmentPrograms[[#This Row],[Lookup]])</f>
        <v>0</v>
      </c>
      <c r="Q23" s="33" t="e">
        <f>AVERAGEIFS(tblRisk[Risk Score With Safeguard in Place],tblRisk[Lookup],tblRiskTreatmentPrograms[[#This Row],[Lookup]])</f>
        <v>#DIV/0!</v>
      </c>
      <c r="R23" s="33">
        <f>SUMIFS(tblRisk[Risk Score With Safeguard in Place],tblRisk[Lookup],tblRiskTreatmentPrograms[[#This Row],[Lookup]])</f>
        <v>0</v>
      </c>
      <c r="S23" s="33" t="e">
        <f>tblRiskTreatmentPrograms[[#This Row],[Tgt Avg Maturity]]-tblRiskTreatmentPrograms[[#This Row],[Avg Maturity]]</f>
        <v>#DIV/0!</v>
      </c>
      <c r="T23" s="33">
        <f>tblRiskTreatmentPrograms[[#This Row],[Max]]-tblRiskTreatmentPrograms[[#This Row],[Tgt Max]]</f>
        <v>0</v>
      </c>
      <c r="U23" s="33" t="e">
        <f>tblRiskTreatmentPrograms[[#This Row],[Avg]]-tblRiskTreatmentPrograms[[#This Row],[Tgt Avg]]</f>
        <v>#DIV/0!</v>
      </c>
      <c r="V23" s="33">
        <f>tblRiskTreatmentPrograms[[#This Row],[Sum]]-tblRiskTreatmentPrograms[[#This Row],[Tgt Sum]]</f>
        <v>0</v>
      </c>
      <c r="W23" s="33"/>
      <c r="X23" s="109" t="s">
        <v>1055</v>
      </c>
      <c r="Y23" s="109" t="s">
        <v>1055</v>
      </c>
    </row>
    <row r="24" spans="2:25" ht="156.75" x14ac:dyDescent="0.45">
      <c r="B24" s="33" t="s">
        <v>18</v>
      </c>
      <c r="C24" s="33" t="s">
        <v>86</v>
      </c>
      <c r="D24" s="33"/>
      <c r="E24" s="33" t="str">
        <f>tblRiskTreatmentPrograms[[#This Row],[Common Security Program]]&amp;tblRiskTreatmentPrograms[[#This Row],[Common Security Control]]&amp;tblRiskTreatmentPrograms[[#This Row],[Asset Designation]]</f>
        <v>Access ControlGovernance</v>
      </c>
      <c r="F24" s="33" t="s">
        <v>174</v>
      </c>
      <c r="G24" s="33" t="s">
        <v>677</v>
      </c>
      <c r="H24" s="33"/>
      <c r="I24" s="33">
        <f>COUNTIFS(tblRisk[Lookup],tblRiskTreatmentPrograms[[#This Row],[Lookup]])</f>
        <v>0</v>
      </c>
      <c r="J24" s="33" t="e">
        <f>AVERAGEIFS(tblRisk[Control Maturity],tblRisk[Lookup],tblRiskTreatmentPrograms[[#This Row],[Lookup]])</f>
        <v>#DIV/0!</v>
      </c>
      <c r="K24" s="33">
        <f>_xlfn.MAXIFS(tblRisk[Risk Score],tblRisk[Lookup],tblRiskTreatmentPrograms[[#This Row],[Lookup]])</f>
        <v>0</v>
      </c>
      <c r="L24" s="33" t="e">
        <f>AVERAGEIFS(tblRisk[Risk Score],tblRisk[Lookup],tblRiskTreatmentPrograms[[#This Row],[Lookup]])</f>
        <v>#DIV/0!</v>
      </c>
      <c r="M24" s="33">
        <f>SUMIFS(tblRisk[Risk Score],tblRisk[Lookup],tblRiskTreatmentPrograms[[#This Row],[Lookup]])</f>
        <v>0</v>
      </c>
      <c r="N24" s="33">
        <f>SUMIFS(tblRisk[Current Level of Risk],tblRisk[Lookup],tblRiskTreatmentPrograms[[#This Row],[Lookup]])</f>
        <v>0</v>
      </c>
      <c r="O24" s="33" t="e">
        <f>AVERAGEIFS(tblRisk[Control Maturity after SG],tblRisk[Lookup],tblRiskTreatmentPrograms[[#This Row],[Lookup]])</f>
        <v>#DIV/0!</v>
      </c>
      <c r="P24" s="33">
        <f>_xlfn.MAXIFS(tblRisk[Risk Score With Safeguard in Place],tblRisk[Lookup],tblRiskTreatmentPrograms[[#This Row],[Lookup]])</f>
        <v>0</v>
      </c>
      <c r="Q24" s="33" t="e">
        <f>AVERAGEIFS(tblRisk[Risk Score With Safeguard in Place],tblRisk[Lookup],tblRiskTreatmentPrograms[[#This Row],[Lookup]])</f>
        <v>#DIV/0!</v>
      </c>
      <c r="R24" s="33">
        <f>SUMIFS(tblRisk[Risk Score With Safeguard in Place],tblRisk[Lookup],tblRiskTreatmentPrograms[[#This Row],[Lookup]])</f>
        <v>0</v>
      </c>
      <c r="S24" s="33" t="e">
        <f>tblRiskTreatmentPrograms[[#This Row],[Tgt Avg Maturity]]-tblRiskTreatmentPrograms[[#This Row],[Avg Maturity]]</f>
        <v>#DIV/0!</v>
      </c>
      <c r="T24" s="33">
        <f>tblRiskTreatmentPrograms[[#This Row],[Max]]-tblRiskTreatmentPrograms[[#This Row],[Tgt Max]]</f>
        <v>0</v>
      </c>
      <c r="U24" s="33" t="e">
        <f>tblRiskTreatmentPrograms[[#This Row],[Avg]]-tblRiskTreatmentPrograms[[#This Row],[Tgt Avg]]</f>
        <v>#DIV/0!</v>
      </c>
      <c r="V24" s="33">
        <f>tblRiskTreatmentPrograms[[#This Row],[Sum]]-tblRiskTreatmentPrograms[[#This Row],[Tgt Sum]]</f>
        <v>0</v>
      </c>
      <c r="W24" s="33"/>
      <c r="X24" s="109" t="s">
        <v>1055</v>
      </c>
      <c r="Y24" s="109" t="s">
        <v>1055</v>
      </c>
    </row>
    <row r="25" spans="2:25" ht="114" x14ac:dyDescent="0.45">
      <c r="B25" s="33" t="s">
        <v>18</v>
      </c>
      <c r="C25" s="33" t="s">
        <v>88</v>
      </c>
      <c r="D25" s="33"/>
      <c r="E25" s="33" t="str">
        <f>tblRiskTreatmentPrograms[[#This Row],[Common Security Program]]&amp;tblRiskTreatmentPrograms[[#This Row],[Common Security Control]]&amp;tblRiskTreatmentPrograms[[#This Row],[Asset Designation]]</f>
        <v>Access ControlOperation</v>
      </c>
      <c r="F25" s="33" t="s">
        <v>175</v>
      </c>
      <c r="G25" s="33" t="s">
        <v>678</v>
      </c>
      <c r="H25" s="33"/>
      <c r="I25" s="33">
        <f>COUNTIFS(tblRisk[Lookup],tblRiskTreatmentPrograms[[#This Row],[Lookup]])</f>
        <v>0</v>
      </c>
      <c r="J25" s="33" t="e">
        <f>AVERAGEIFS(tblRisk[Control Maturity],tblRisk[Lookup],tblRiskTreatmentPrograms[[#This Row],[Lookup]])</f>
        <v>#DIV/0!</v>
      </c>
      <c r="K25" s="33">
        <f>_xlfn.MAXIFS(tblRisk[Risk Score],tblRisk[Lookup],tblRiskTreatmentPrograms[[#This Row],[Lookup]])</f>
        <v>0</v>
      </c>
      <c r="L25" s="33" t="e">
        <f>AVERAGEIFS(tblRisk[Risk Score],tblRisk[Lookup],tblRiskTreatmentPrograms[[#This Row],[Lookup]])</f>
        <v>#DIV/0!</v>
      </c>
      <c r="M25" s="33">
        <f>SUMIFS(tblRisk[Risk Score],tblRisk[Lookup],tblRiskTreatmentPrograms[[#This Row],[Lookup]])</f>
        <v>0</v>
      </c>
      <c r="N25" s="33">
        <f>SUMIFS(tblRisk[Current Level of Risk],tblRisk[Lookup],tblRiskTreatmentPrograms[[#This Row],[Lookup]])</f>
        <v>0</v>
      </c>
      <c r="O25" s="33" t="e">
        <f>AVERAGEIFS(tblRisk[Control Maturity after SG],tblRisk[Lookup],tblRiskTreatmentPrograms[[#This Row],[Lookup]])</f>
        <v>#DIV/0!</v>
      </c>
      <c r="P25" s="33">
        <f>_xlfn.MAXIFS(tblRisk[Risk Score With Safeguard in Place],tblRisk[Lookup],tblRiskTreatmentPrograms[[#This Row],[Lookup]])</f>
        <v>0</v>
      </c>
      <c r="Q25" s="33" t="e">
        <f>AVERAGEIFS(tblRisk[Risk Score With Safeguard in Place],tblRisk[Lookup],tblRiskTreatmentPrograms[[#This Row],[Lookup]])</f>
        <v>#DIV/0!</v>
      </c>
      <c r="R25" s="33">
        <f>SUMIFS(tblRisk[Risk Score With Safeguard in Place],tblRisk[Lookup],tblRiskTreatmentPrograms[[#This Row],[Lookup]])</f>
        <v>0</v>
      </c>
      <c r="S25" s="33" t="e">
        <f>tblRiskTreatmentPrograms[[#This Row],[Tgt Avg Maturity]]-tblRiskTreatmentPrograms[[#This Row],[Avg Maturity]]</f>
        <v>#DIV/0!</v>
      </c>
      <c r="T25" s="33">
        <f>tblRiskTreatmentPrograms[[#This Row],[Max]]-tblRiskTreatmentPrograms[[#This Row],[Tgt Max]]</f>
        <v>0</v>
      </c>
      <c r="U25" s="33" t="e">
        <f>tblRiskTreatmentPrograms[[#This Row],[Avg]]-tblRiskTreatmentPrograms[[#This Row],[Tgt Avg]]</f>
        <v>#DIV/0!</v>
      </c>
      <c r="V25" s="33">
        <f>tblRiskTreatmentPrograms[[#This Row],[Sum]]-tblRiskTreatmentPrograms[[#This Row],[Tgt Sum]]</f>
        <v>0</v>
      </c>
      <c r="W25" s="33"/>
      <c r="X25" s="109" t="s">
        <v>1055</v>
      </c>
      <c r="Y25" s="109" t="s">
        <v>1055</v>
      </c>
    </row>
    <row r="26" spans="2:25" ht="128.25" x14ac:dyDescent="0.45">
      <c r="B26" s="33" t="s">
        <v>19</v>
      </c>
      <c r="C26" s="33" t="s">
        <v>86</v>
      </c>
      <c r="D26" s="33"/>
      <c r="E26" s="33" t="str">
        <f>tblRiskTreatmentPrograms[[#This Row],[Common Security Program]]&amp;tblRiskTreatmentPrograms[[#This Row],[Common Security Control]]&amp;tblRiskTreatmentPrograms[[#This Row],[Asset Designation]]</f>
        <v>Credential ManagementGovernance</v>
      </c>
      <c r="F26" s="33" t="s">
        <v>99</v>
      </c>
      <c r="G26" s="33" t="s">
        <v>679</v>
      </c>
      <c r="H26" s="33"/>
      <c r="I26" s="33">
        <f>COUNTIFS(tblRisk[Lookup],tblRiskTreatmentPrograms[[#This Row],[Lookup]])</f>
        <v>0</v>
      </c>
      <c r="J26" s="33" t="e">
        <f>AVERAGEIFS(tblRisk[Control Maturity],tblRisk[Lookup],tblRiskTreatmentPrograms[[#This Row],[Lookup]])</f>
        <v>#DIV/0!</v>
      </c>
      <c r="K26" s="33">
        <f>_xlfn.MAXIFS(tblRisk[Risk Score],tblRisk[Lookup],tblRiskTreatmentPrograms[[#This Row],[Lookup]])</f>
        <v>0</v>
      </c>
      <c r="L26" s="33" t="e">
        <f>AVERAGEIFS(tblRisk[Risk Score],tblRisk[Lookup],tblRiskTreatmentPrograms[[#This Row],[Lookup]])</f>
        <v>#DIV/0!</v>
      </c>
      <c r="M26" s="33">
        <f>SUMIFS(tblRisk[Risk Score],tblRisk[Lookup],tblRiskTreatmentPrograms[[#This Row],[Lookup]])</f>
        <v>0</v>
      </c>
      <c r="N26" s="33">
        <f>SUMIFS(tblRisk[Current Level of Risk],tblRisk[Lookup],tblRiskTreatmentPrograms[[#This Row],[Lookup]])</f>
        <v>0</v>
      </c>
      <c r="O26" s="33" t="e">
        <f>AVERAGEIFS(tblRisk[Control Maturity after SG],tblRisk[Lookup],tblRiskTreatmentPrograms[[#This Row],[Lookup]])</f>
        <v>#DIV/0!</v>
      </c>
      <c r="P26" s="33">
        <f>_xlfn.MAXIFS(tblRisk[Risk Score With Safeguard in Place],tblRisk[Lookup],tblRiskTreatmentPrograms[[#This Row],[Lookup]])</f>
        <v>0</v>
      </c>
      <c r="Q26" s="33" t="e">
        <f>AVERAGEIFS(tblRisk[Risk Score With Safeguard in Place],tblRisk[Lookup],tblRiskTreatmentPrograms[[#This Row],[Lookup]])</f>
        <v>#DIV/0!</v>
      </c>
      <c r="R26" s="33">
        <f>SUMIFS(tblRisk[Risk Score With Safeguard in Place],tblRisk[Lookup],tblRiskTreatmentPrograms[[#This Row],[Lookup]])</f>
        <v>0</v>
      </c>
      <c r="S26" s="33" t="e">
        <f>tblRiskTreatmentPrograms[[#This Row],[Tgt Avg Maturity]]-tblRiskTreatmentPrograms[[#This Row],[Avg Maturity]]</f>
        <v>#DIV/0!</v>
      </c>
      <c r="T26" s="33">
        <f>tblRiskTreatmentPrograms[[#This Row],[Max]]-tblRiskTreatmentPrograms[[#This Row],[Tgt Max]]</f>
        <v>0</v>
      </c>
      <c r="U26" s="33" t="e">
        <f>tblRiskTreatmentPrograms[[#This Row],[Avg]]-tblRiskTreatmentPrograms[[#This Row],[Tgt Avg]]</f>
        <v>#DIV/0!</v>
      </c>
      <c r="V26" s="33">
        <f>tblRiskTreatmentPrograms[[#This Row],[Sum]]-tblRiskTreatmentPrograms[[#This Row],[Tgt Sum]]</f>
        <v>0</v>
      </c>
      <c r="W26" s="33"/>
      <c r="X26" s="109" t="s">
        <v>1055</v>
      </c>
      <c r="Y26" s="109" t="s">
        <v>1055</v>
      </c>
    </row>
    <row r="27" spans="2:25" ht="85.5" x14ac:dyDescent="0.45">
      <c r="B27" s="33" t="s">
        <v>19</v>
      </c>
      <c r="C27" s="33" t="s">
        <v>88</v>
      </c>
      <c r="D27" s="33"/>
      <c r="E27" s="33" t="str">
        <f>tblRiskTreatmentPrograms[[#This Row],[Common Security Program]]&amp;tblRiskTreatmentPrograms[[#This Row],[Common Security Control]]&amp;tblRiskTreatmentPrograms[[#This Row],[Asset Designation]]</f>
        <v>Credential ManagementOperation</v>
      </c>
      <c r="F27" s="33" t="s">
        <v>100</v>
      </c>
      <c r="G27" s="33" t="s">
        <v>680</v>
      </c>
      <c r="H27" s="33"/>
      <c r="I27" s="33">
        <f>COUNTIFS(tblRisk[Lookup],tblRiskTreatmentPrograms[[#This Row],[Lookup]])</f>
        <v>0</v>
      </c>
      <c r="J27" s="33" t="e">
        <f>AVERAGEIFS(tblRisk[Control Maturity],tblRisk[Lookup],tblRiskTreatmentPrograms[[#This Row],[Lookup]])</f>
        <v>#DIV/0!</v>
      </c>
      <c r="K27" s="33">
        <f>_xlfn.MAXIFS(tblRisk[Risk Score],tblRisk[Lookup],tblRiskTreatmentPrograms[[#This Row],[Lookup]])</f>
        <v>0</v>
      </c>
      <c r="L27" s="33" t="e">
        <f>AVERAGEIFS(tblRisk[Risk Score],tblRisk[Lookup],tblRiskTreatmentPrograms[[#This Row],[Lookup]])</f>
        <v>#DIV/0!</v>
      </c>
      <c r="M27" s="33">
        <f>SUMIFS(tblRisk[Risk Score],tblRisk[Lookup],tblRiskTreatmentPrograms[[#This Row],[Lookup]])</f>
        <v>0</v>
      </c>
      <c r="N27" s="33">
        <f>SUMIFS(tblRisk[Current Level of Risk],tblRisk[Lookup],tblRiskTreatmentPrograms[[#This Row],[Lookup]])</f>
        <v>0</v>
      </c>
      <c r="O27" s="33" t="e">
        <f>AVERAGEIFS(tblRisk[Control Maturity after SG],tblRisk[Lookup],tblRiskTreatmentPrograms[[#This Row],[Lookup]])</f>
        <v>#DIV/0!</v>
      </c>
      <c r="P27" s="33">
        <f>_xlfn.MAXIFS(tblRisk[Risk Score With Safeguard in Place],tblRisk[Lookup],tblRiskTreatmentPrograms[[#This Row],[Lookup]])</f>
        <v>0</v>
      </c>
      <c r="Q27" s="33" t="e">
        <f>AVERAGEIFS(tblRisk[Risk Score With Safeguard in Place],tblRisk[Lookup],tblRiskTreatmentPrograms[[#This Row],[Lookup]])</f>
        <v>#DIV/0!</v>
      </c>
      <c r="R27" s="33">
        <f>SUMIFS(tblRisk[Risk Score With Safeguard in Place],tblRisk[Lookup],tblRiskTreatmentPrograms[[#This Row],[Lookup]])</f>
        <v>0</v>
      </c>
      <c r="S27" s="33" t="e">
        <f>tblRiskTreatmentPrograms[[#This Row],[Tgt Avg Maturity]]-tblRiskTreatmentPrograms[[#This Row],[Avg Maturity]]</f>
        <v>#DIV/0!</v>
      </c>
      <c r="T27" s="33">
        <f>tblRiskTreatmentPrograms[[#This Row],[Max]]-tblRiskTreatmentPrograms[[#This Row],[Tgt Max]]</f>
        <v>0</v>
      </c>
      <c r="U27" s="33" t="e">
        <f>tblRiskTreatmentPrograms[[#This Row],[Avg]]-tblRiskTreatmentPrograms[[#This Row],[Tgt Avg]]</f>
        <v>#DIV/0!</v>
      </c>
      <c r="V27" s="33">
        <f>tblRiskTreatmentPrograms[[#This Row],[Sum]]-tblRiskTreatmentPrograms[[#This Row],[Tgt Sum]]</f>
        <v>0</v>
      </c>
      <c r="W27" s="33"/>
      <c r="X27" s="109" t="s">
        <v>1055</v>
      </c>
      <c r="Y27" s="109" t="s">
        <v>1055</v>
      </c>
    </row>
    <row r="28" spans="2:25" ht="114" x14ac:dyDescent="0.45">
      <c r="B28" s="33" t="s">
        <v>20</v>
      </c>
      <c r="C28" s="33" t="s">
        <v>86</v>
      </c>
      <c r="D28" s="33"/>
      <c r="E28" s="33" t="str">
        <f>tblRiskTreatmentPrograms[[#This Row],[Common Security Program]]&amp;tblRiskTreatmentPrograms[[#This Row],[Common Security Control]]&amp;tblRiskTreatmentPrograms[[#This Row],[Asset Designation]]</f>
        <v>Cryptographic ControlsGovernance</v>
      </c>
      <c r="F28" s="33" t="s">
        <v>101</v>
      </c>
      <c r="G28" s="33" t="s">
        <v>681</v>
      </c>
      <c r="H28" s="33"/>
      <c r="I28" s="33">
        <f>COUNTIFS(tblRisk[Lookup],tblRiskTreatmentPrograms[[#This Row],[Lookup]])</f>
        <v>0</v>
      </c>
      <c r="J28" s="33" t="e">
        <f>AVERAGEIFS(tblRisk[Control Maturity],tblRisk[Lookup],tblRiskTreatmentPrograms[[#This Row],[Lookup]])</f>
        <v>#DIV/0!</v>
      </c>
      <c r="K28" s="33">
        <f>_xlfn.MAXIFS(tblRisk[Risk Score],tblRisk[Lookup],tblRiskTreatmentPrograms[[#This Row],[Lookup]])</f>
        <v>0</v>
      </c>
      <c r="L28" s="33" t="e">
        <f>AVERAGEIFS(tblRisk[Risk Score],tblRisk[Lookup],tblRiskTreatmentPrograms[[#This Row],[Lookup]])</f>
        <v>#DIV/0!</v>
      </c>
      <c r="M28" s="33">
        <f>SUMIFS(tblRisk[Risk Score],tblRisk[Lookup],tblRiskTreatmentPrograms[[#This Row],[Lookup]])</f>
        <v>0</v>
      </c>
      <c r="N28" s="33">
        <f>SUMIFS(tblRisk[Current Level of Risk],tblRisk[Lookup],tblRiskTreatmentPrograms[[#This Row],[Lookup]])</f>
        <v>0</v>
      </c>
      <c r="O28" s="33" t="e">
        <f>AVERAGEIFS(tblRisk[Control Maturity after SG],tblRisk[Lookup],tblRiskTreatmentPrograms[[#This Row],[Lookup]])</f>
        <v>#DIV/0!</v>
      </c>
      <c r="P28" s="33">
        <f>_xlfn.MAXIFS(tblRisk[Risk Score With Safeguard in Place],tblRisk[Lookup],tblRiskTreatmentPrograms[[#This Row],[Lookup]])</f>
        <v>0</v>
      </c>
      <c r="Q28" s="33" t="e">
        <f>AVERAGEIFS(tblRisk[Risk Score With Safeguard in Place],tblRisk[Lookup],tblRiskTreatmentPrograms[[#This Row],[Lookup]])</f>
        <v>#DIV/0!</v>
      </c>
      <c r="R28" s="33">
        <f>SUMIFS(tblRisk[Risk Score With Safeguard in Place],tblRisk[Lookup],tblRiskTreatmentPrograms[[#This Row],[Lookup]])</f>
        <v>0</v>
      </c>
      <c r="S28" s="33" t="e">
        <f>tblRiskTreatmentPrograms[[#This Row],[Tgt Avg Maturity]]-tblRiskTreatmentPrograms[[#This Row],[Avg Maturity]]</f>
        <v>#DIV/0!</v>
      </c>
      <c r="T28" s="33">
        <f>tblRiskTreatmentPrograms[[#This Row],[Max]]-tblRiskTreatmentPrograms[[#This Row],[Tgt Max]]</f>
        <v>0</v>
      </c>
      <c r="U28" s="33" t="e">
        <f>tblRiskTreatmentPrograms[[#This Row],[Avg]]-tblRiskTreatmentPrograms[[#This Row],[Tgt Avg]]</f>
        <v>#DIV/0!</v>
      </c>
      <c r="V28" s="33">
        <f>tblRiskTreatmentPrograms[[#This Row],[Sum]]-tblRiskTreatmentPrograms[[#This Row],[Tgt Sum]]</f>
        <v>0</v>
      </c>
      <c r="W28" s="33"/>
      <c r="X28" s="109" t="s">
        <v>1055</v>
      </c>
      <c r="Y28" s="109" t="s">
        <v>1055</v>
      </c>
    </row>
    <row r="29" spans="2:25" ht="85.5" x14ac:dyDescent="0.45">
      <c r="B29" s="33" t="s">
        <v>20</v>
      </c>
      <c r="C29" s="33" t="s">
        <v>88</v>
      </c>
      <c r="D29" s="33"/>
      <c r="E29" s="33" t="str">
        <f>tblRiskTreatmentPrograms[[#This Row],[Common Security Program]]&amp;tblRiskTreatmentPrograms[[#This Row],[Common Security Control]]&amp;tblRiskTreatmentPrograms[[#This Row],[Asset Designation]]</f>
        <v>Cryptographic ControlsOperation</v>
      </c>
      <c r="F29" s="33" t="s">
        <v>102</v>
      </c>
      <c r="G29" s="33" t="s">
        <v>682</v>
      </c>
      <c r="H29" s="33"/>
      <c r="I29" s="33">
        <f>COUNTIFS(tblRisk[Lookup],tblRiskTreatmentPrograms[[#This Row],[Lookup]])</f>
        <v>0</v>
      </c>
      <c r="J29" s="33" t="e">
        <f>AVERAGEIFS(tblRisk[Control Maturity],tblRisk[Lookup],tblRiskTreatmentPrograms[[#This Row],[Lookup]])</f>
        <v>#DIV/0!</v>
      </c>
      <c r="K29" s="33">
        <f>_xlfn.MAXIFS(tblRisk[Risk Score],tblRisk[Lookup],tblRiskTreatmentPrograms[[#This Row],[Lookup]])</f>
        <v>0</v>
      </c>
      <c r="L29" s="33" t="e">
        <f>AVERAGEIFS(tblRisk[Risk Score],tblRisk[Lookup],tblRiskTreatmentPrograms[[#This Row],[Lookup]])</f>
        <v>#DIV/0!</v>
      </c>
      <c r="M29" s="33">
        <f>SUMIFS(tblRisk[Risk Score],tblRisk[Lookup],tblRiskTreatmentPrograms[[#This Row],[Lookup]])</f>
        <v>0</v>
      </c>
      <c r="N29" s="33">
        <f>SUMIFS(tblRisk[Current Level of Risk],tblRisk[Lookup],tblRiskTreatmentPrograms[[#This Row],[Lookup]])</f>
        <v>0</v>
      </c>
      <c r="O29" s="33" t="e">
        <f>AVERAGEIFS(tblRisk[Control Maturity after SG],tblRisk[Lookup],tblRiskTreatmentPrograms[[#This Row],[Lookup]])</f>
        <v>#DIV/0!</v>
      </c>
      <c r="P29" s="33">
        <f>_xlfn.MAXIFS(tblRisk[Risk Score With Safeguard in Place],tblRisk[Lookup],tblRiskTreatmentPrograms[[#This Row],[Lookup]])</f>
        <v>0</v>
      </c>
      <c r="Q29" s="33" t="e">
        <f>AVERAGEIFS(tblRisk[Risk Score With Safeguard in Place],tblRisk[Lookup],tblRiskTreatmentPrograms[[#This Row],[Lookup]])</f>
        <v>#DIV/0!</v>
      </c>
      <c r="R29" s="33">
        <f>SUMIFS(tblRisk[Risk Score With Safeguard in Place],tblRisk[Lookup],tblRiskTreatmentPrograms[[#This Row],[Lookup]])</f>
        <v>0</v>
      </c>
      <c r="S29" s="33" t="e">
        <f>tblRiskTreatmentPrograms[[#This Row],[Tgt Avg Maturity]]-tblRiskTreatmentPrograms[[#This Row],[Avg Maturity]]</f>
        <v>#DIV/0!</v>
      </c>
      <c r="T29" s="33">
        <f>tblRiskTreatmentPrograms[[#This Row],[Max]]-tblRiskTreatmentPrograms[[#This Row],[Tgt Max]]</f>
        <v>0</v>
      </c>
      <c r="U29" s="33" t="e">
        <f>tblRiskTreatmentPrograms[[#This Row],[Avg]]-tblRiskTreatmentPrograms[[#This Row],[Tgt Avg]]</f>
        <v>#DIV/0!</v>
      </c>
      <c r="V29" s="33">
        <f>tblRiskTreatmentPrograms[[#This Row],[Sum]]-tblRiskTreatmentPrograms[[#This Row],[Tgt Sum]]</f>
        <v>0</v>
      </c>
      <c r="W29" s="33"/>
      <c r="X29" s="109" t="s">
        <v>1055</v>
      </c>
      <c r="Y29" s="109" t="s">
        <v>1055</v>
      </c>
    </row>
    <row r="30" spans="2:25" ht="128.25" x14ac:dyDescent="0.45">
      <c r="B30" s="33" t="s">
        <v>21</v>
      </c>
      <c r="C30" s="33" t="s">
        <v>86</v>
      </c>
      <c r="D30" s="33"/>
      <c r="E30" s="33" t="str">
        <f>tblRiskTreatmentPrograms[[#This Row],[Common Security Program]]&amp;tblRiskTreatmentPrograms[[#This Row],[Common Security Control]]&amp;tblRiskTreatmentPrograms[[#This Row],[Asset Designation]]</f>
        <v>Monitoring &amp; LoggingGovernance</v>
      </c>
      <c r="F30" s="33" t="s">
        <v>103</v>
      </c>
      <c r="G30" s="33" t="s">
        <v>683</v>
      </c>
      <c r="H30" s="33"/>
      <c r="I30" s="33">
        <f>COUNTIFS(tblRisk[Lookup],tblRiskTreatmentPrograms[[#This Row],[Lookup]])</f>
        <v>0</v>
      </c>
      <c r="J30" s="33" t="e">
        <f>AVERAGEIFS(tblRisk[Control Maturity],tblRisk[Lookup],tblRiskTreatmentPrograms[[#This Row],[Lookup]])</f>
        <v>#DIV/0!</v>
      </c>
      <c r="K30" s="33">
        <f>_xlfn.MAXIFS(tblRisk[Risk Score],tblRisk[Lookup],tblRiskTreatmentPrograms[[#This Row],[Lookup]])</f>
        <v>0</v>
      </c>
      <c r="L30" s="33" t="e">
        <f>AVERAGEIFS(tblRisk[Risk Score],tblRisk[Lookup],tblRiskTreatmentPrograms[[#This Row],[Lookup]])</f>
        <v>#DIV/0!</v>
      </c>
      <c r="M30" s="33">
        <f>SUMIFS(tblRisk[Risk Score],tblRisk[Lookup],tblRiskTreatmentPrograms[[#This Row],[Lookup]])</f>
        <v>0</v>
      </c>
      <c r="N30" s="33">
        <f>SUMIFS(tblRisk[Current Level of Risk],tblRisk[Lookup],tblRiskTreatmentPrograms[[#This Row],[Lookup]])</f>
        <v>0</v>
      </c>
      <c r="O30" s="33" t="e">
        <f>AVERAGEIFS(tblRisk[Control Maturity after SG],tblRisk[Lookup],tblRiskTreatmentPrograms[[#This Row],[Lookup]])</f>
        <v>#DIV/0!</v>
      </c>
      <c r="P30" s="33">
        <f>_xlfn.MAXIFS(tblRisk[Risk Score With Safeguard in Place],tblRisk[Lookup],tblRiskTreatmentPrograms[[#This Row],[Lookup]])</f>
        <v>0</v>
      </c>
      <c r="Q30" s="33" t="e">
        <f>AVERAGEIFS(tblRisk[Risk Score With Safeguard in Place],tblRisk[Lookup],tblRiskTreatmentPrograms[[#This Row],[Lookup]])</f>
        <v>#DIV/0!</v>
      </c>
      <c r="R30" s="33">
        <f>SUMIFS(tblRisk[Risk Score With Safeguard in Place],tblRisk[Lookup],tblRiskTreatmentPrograms[[#This Row],[Lookup]])</f>
        <v>0</v>
      </c>
      <c r="S30" s="33" t="e">
        <f>tblRiskTreatmentPrograms[[#This Row],[Tgt Avg Maturity]]-tblRiskTreatmentPrograms[[#This Row],[Avg Maturity]]</f>
        <v>#DIV/0!</v>
      </c>
      <c r="T30" s="33">
        <f>tblRiskTreatmentPrograms[[#This Row],[Max]]-tblRiskTreatmentPrograms[[#This Row],[Tgt Max]]</f>
        <v>0</v>
      </c>
      <c r="U30" s="33" t="e">
        <f>tblRiskTreatmentPrograms[[#This Row],[Avg]]-tblRiskTreatmentPrograms[[#This Row],[Tgt Avg]]</f>
        <v>#DIV/0!</v>
      </c>
      <c r="V30" s="33">
        <f>tblRiskTreatmentPrograms[[#This Row],[Sum]]-tblRiskTreatmentPrograms[[#This Row],[Tgt Sum]]</f>
        <v>0</v>
      </c>
      <c r="W30" s="33"/>
      <c r="X30" s="109" t="s">
        <v>1055</v>
      </c>
      <c r="Y30" s="109" t="s">
        <v>1055</v>
      </c>
    </row>
    <row r="31" spans="2:25" ht="128.25" x14ac:dyDescent="0.45">
      <c r="B31" s="33" t="s">
        <v>21</v>
      </c>
      <c r="C31" s="33" t="s">
        <v>88</v>
      </c>
      <c r="D31" s="33"/>
      <c r="E31" s="33" t="str">
        <f>tblRiskTreatmentPrograms[[#This Row],[Common Security Program]]&amp;tblRiskTreatmentPrograms[[#This Row],[Common Security Control]]&amp;tblRiskTreatmentPrograms[[#This Row],[Asset Designation]]</f>
        <v>Monitoring &amp; LoggingOperation</v>
      </c>
      <c r="F31" s="33" t="s">
        <v>104</v>
      </c>
      <c r="G31" s="33" t="s">
        <v>684</v>
      </c>
      <c r="H31" s="33"/>
      <c r="I31" s="33">
        <f>COUNTIFS(tblRisk[Lookup],tblRiskTreatmentPrograms[[#This Row],[Lookup]])</f>
        <v>0</v>
      </c>
      <c r="J31" s="33" t="e">
        <f>AVERAGEIFS(tblRisk[Control Maturity],tblRisk[Lookup],tblRiskTreatmentPrograms[[#This Row],[Lookup]])</f>
        <v>#DIV/0!</v>
      </c>
      <c r="K31" s="33">
        <f>_xlfn.MAXIFS(tblRisk[Risk Score],tblRisk[Lookup],tblRiskTreatmentPrograms[[#This Row],[Lookup]])</f>
        <v>0</v>
      </c>
      <c r="L31" s="33" t="e">
        <f>AVERAGEIFS(tblRisk[Risk Score],tblRisk[Lookup],tblRiskTreatmentPrograms[[#This Row],[Lookup]])</f>
        <v>#DIV/0!</v>
      </c>
      <c r="M31" s="33">
        <f>SUMIFS(tblRisk[Risk Score],tblRisk[Lookup],tblRiskTreatmentPrograms[[#This Row],[Lookup]])</f>
        <v>0</v>
      </c>
      <c r="N31" s="33">
        <f>SUMIFS(tblRisk[Current Level of Risk],tblRisk[Lookup],tblRiskTreatmentPrograms[[#This Row],[Lookup]])</f>
        <v>0</v>
      </c>
      <c r="O31" s="33" t="e">
        <f>AVERAGEIFS(tblRisk[Control Maturity after SG],tblRisk[Lookup],tblRiskTreatmentPrograms[[#This Row],[Lookup]])</f>
        <v>#DIV/0!</v>
      </c>
      <c r="P31" s="33">
        <f>_xlfn.MAXIFS(tblRisk[Risk Score With Safeguard in Place],tblRisk[Lookup],tblRiskTreatmentPrograms[[#This Row],[Lookup]])</f>
        <v>0</v>
      </c>
      <c r="Q31" s="33" t="e">
        <f>AVERAGEIFS(tblRisk[Risk Score With Safeguard in Place],tblRisk[Lookup],tblRiskTreatmentPrograms[[#This Row],[Lookup]])</f>
        <v>#DIV/0!</v>
      </c>
      <c r="R31" s="33">
        <f>SUMIFS(tblRisk[Risk Score With Safeguard in Place],tblRisk[Lookup],tblRiskTreatmentPrograms[[#This Row],[Lookup]])</f>
        <v>0</v>
      </c>
      <c r="S31" s="33" t="e">
        <f>tblRiskTreatmentPrograms[[#This Row],[Tgt Avg Maturity]]-tblRiskTreatmentPrograms[[#This Row],[Avg Maturity]]</f>
        <v>#DIV/0!</v>
      </c>
      <c r="T31" s="33">
        <f>tblRiskTreatmentPrograms[[#This Row],[Max]]-tblRiskTreatmentPrograms[[#This Row],[Tgt Max]]</f>
        <v>0</v>
      </c>
      <c r="U31" s="33" t="e">
        <f>tblRiskTreatmentPrograms[[#This Row],[Avg]]-tblRiskTreatmentPrograms[[#This Row],[Tgt Avg]]</f>
        <v>#DIV/0!</v>
      </c>
      <c r="V31" s="33">
        <f>tblRiskTreatmentPrograms[[#This Row],[Sum]]-tblRiskTreatmentPrograms[[#This Row],[Tgt Sum]]</f>
        <v>0</v>
      </c>
      <c r="W31" s="33"/>
      <c r="X31" s="109" t="s">
        <v>1055</v>
      </c>
      <c r="Y31" s="109" t="s">
        <v>1055</v>
      </c>
    </row>
    <row r="32" spans="2:25" ht="128.25" x14ac:dyDescent="0.45">
      <c r="B32" s="33" t="s">
        <v>22</v>
      </c>
      <c r="C32" s="33" t="s">
        <v>86</v>
      </c>
      <c r="D32" s="33"/>
      <c r="E32" s="33" t="str">
        <f>tblRiskTreatmentPrograms[[#This Row],[Common Security Program]]&amp;tblRiskTreatmentPrograms[[#This Row],[Common Security Control]]&amp;tblRiskTreatmentPrograms[[#This Row],[Asset Designation]]</f>
        <v>Vulnerability ManagementGovernance</v>
      </c>
      <c r="F32" s="33" t="s">
        <v>105</v>
      </c>
      <c r="G32" s="33" t="s">
        <v>685</v>
      </c>
      <c r="H32" s="33"/>
      <c r="I32" s="33">
        <f>COUNTIFS(tblRisk[Lookup],tblRiskTreatmentPrograms[[#This Row],[Lookup]])</f>
        <v>0</v>
      </c>
      <c r="J32" s="33" t="e">
        <f>AVERAGEIFS(tblRisk[Control Maturity],tblRisk[Lookup],tblRiskTreatmentPrograms[[#This Row],[Lookup]])</f>
        <v>#DIV/0!</v>
      </c>
      <c r="K32" s="33">
        <f>_xlfn.MAXIFS(tblRisk[Risk Score],tblRisk[Lookup],tblRiskTreatmentPrograms[[#This Row],[Lookup]])</f>
        <v>0</v>
      </c>
      <c r="L32" s="33" t="e">
        <f>AVERAGEIFS(tblRisk[Risk Score],tblRisk[Lookup],tblRiskTreatmentPrograms[[#This Row],[Lookup]])</f>
        <v>#DIV/0!</v>
      </c>
      <c r="M32" s="33">
        <f>SUMIFS(tblRisk[Risk Score],tblRisk[Lookup],tblRiskTreatmentPrograms[[#This Row],[Lookup]])</f>
        <v>0</v>
      </c>
      <c r="N32" s="33">
        <f>SUMIFS(tblRisk[Current Level of Risk],tblRisk[Lookup],tblRiskTreatmentPrograms[[#This Row],[Lookup]])</f>
        <v>0</v>
      </c>
      <c r="O32" s="33" t="e">
        <f>AVERAGEIFS(tblRisk[Control Maturity after SG],tblRisk[Lookup],tblRiskTreatmentPrograms[[#This Row],[Lookup]])</f>
        <v>#DIV/0!</v>
      </c>
      <c r="P32" s="33">
        <f>_xlfn.MAXIFS(tblRisk[Risk Score With Safeguard in Place],tblRisk[Lookup],tblRiskTreatmentPrograms[[#This Row],[Lookup]])</f>
        <v>0</v>
      </c>
      <c r="Q32" s="33" t="e">
        <f>AVERAGEIFS(tblRisk[Risk Score With Safeguard in Place],tblRisk[Lookup],tblRiskTreatmentPrograms[[#This Row],[Lookup]])</f>
        <v>#DIV/0!</v>
      </c>
      <c r="R32" s="33">
        <f>SUMIFS(tblRisk[Risk Score With Safeguard in Place],tblRisk[Lookup],tblRiskTreatmentPrograms[[#This Row],[Lookup]])</f>
        <v>0</v>
      </c>
      <c r="S32" s="33" t="e">
        <f>tblRiskTreatmentPrograms[[#This Row],[Tgt Avg Maturity]]-tblRiskTreatmentPrograms[[#This Row],[Avg Maturity]]</f>
        <v>#DIV/0!</v>
      </c>
      <c r="T32" s="33">
        <f>tblRiskTreatmentPrograms[[#This Row],[Max]]-tblRiskTreatmentPrograms[[#This Row],[Tgt Max]]</f>
        <v>0</v>
      </c>
      <c r="U32" s="33" t="e">
        <f>tblRiskTreatmentPrograms[[#This Row],[Avg]]-tblRiskTreatmentPrograms[[#This Row],[Tgt Avg]]</f>
        <v>#DIV/0!</v>
      </c>
      <c r="V32" s="33">
        <f>tblRiskTreatmentPrograms[[#This Row],[Sum]]-tblRiskTreatmentPrograms[[#This Row],[Tgt Sum]]</f>
        <v>0</v>
      </c>
      <c r="W32" s="33"/>
      <c r="X32" s="109" t="s">
        <v>1055</v>
      </c>
      <c r="Y32" s="109" t="s">
        <v>1055</v>
      </c>
    </row>
    <row r="33" spans="2:25" ht="99.75" x14ac:dyDescent="0.45">
      <c r="B33" s="33" t="s">
        <v>22</v>
      </c>
      <c r="C33" s="33" t="s">
        <v>88</v>
      </c>
      <c r="D33" s="33"/>
      <c r="E33" s="33" t="str">
        <f>tblRiskTreatmentPrograms[[#This Row],[Common Security Program]]&amp;tblRiskTreatmentPrograms[[#This Row],[Common Security Control]]&amp;tblRiskTreatmentPrograms[[#This Row],[Asset Designation]]</f>
        <v>Vulnerability ManagementOperation</v>
      </c>
      <c r="F33" s="33" t="s">
        <v>106</v>
      </c>
      <c r="G33" s="33" t="s">
        <v>686</v>
      </c>
      <c r="H33" s="33"/>
      <c r="I33" s="33">
        <f>COUNTIFS(tblRisk[Lookup],tblRiskTreatmentPrograms[[#This Row],[Lookup]])</f>
        <v>0</v>
      </c>
      <c r="J33" s="33" t="e">
        <f>AVERAGEIFS(tblRisk[Control Maturity],tblRisk[Lookup],tblRiskTreatmentPrograms[[#This Row],[Lookup]])</f>
        <v>#DIV/0!</v>
      </c>
      <c r="K33" s="33">
        <f>_xlfn.MAXIFS(tblRisk[Risk Score],tblRisk[Lookup],tblRiskTreatmentPrograms[[#This Row],[Lookup]])</f>
        <v>0</v>
      </c>
      <c r="L33" s="33" t="e">
        <f>AVERAGEIFS(tblRisk[Risk Score],tblRisk[Lookup],tblRiskTreatmentPrograms[[#This Row],[Lookup]])</f>
        <v>#DIV/0!</v>
      </c>
      <c r="M33" s="33">
        <f>SUMIFS(tblRisk[Risk Score],tblRisk[Lookup],tblRiskTreatmentPrograms[[#This Row],[Lookup]])</f>
        <v>0</v>
      </c>
      <c r="N33" s="33">
        <f>SUMIFS(tblRisk[Current Level of Risk],tblRisk[Lookup],tblRiskTreatmentPrograms[[#This Row],[Lookup]])</f>
        <v>0</v>
      </c>
      <c r="O33" s="33" t="e">
        <f>AVERAGEIFS(tblRisk[Control Maturity after SG],tblRisk[Lookup],tblRiskTreatmentPrograms[[#This Row],[Lookup]])</f>
        <v>#DIV/0!</v>
      </c>
      <c r="P33" s="33">
        <f>_xlfn.MAXIFS(tblRisk[Risk Score With Safeguard in Place],tblRisk[Lookup],tblRiskTreatmentPrograms[[#This Row],[Lookup]])</f>
        <v>0</v>
      </c>
      <c r="Q33" s="33" t="e">
        <f>AVERAGEIFS(tblRisk[Risk Score With Safeguard in Place],tblRisk[Lookup],tblRiskTreatmentPrograms[[#This Row],[Lookup]])</f>
        <v>#DIV/0!</v>
      </c>
      <c r="R33" s="33">
        <f>SUMIFS(tblRisk[Risk Score With Safeguard in Place],tblRisk[Lookup],tblRiskTreatmentPrograms[[#This Row],[Lookup]])</f>
        <v>0</v>
      </c>
      <c r="S33" s="33" t="e">
        <f>tblRiskTreatmentPrograms[[#This Row],[Tgt Avg Maturity]]-tblRiskTreatmentPrograms[[#This Row],[Avg Maturity]]</f>
        <v>#DIV/0!</v>
      </c>
      <c r="T33" s="33">
        <f>tblRiskTreatmentPrograms[[#This Row],[Max]]-tblRiskTreatmentPrograms[[#This Row],[Tgt Max]]</f>
        <v>0</v>
      </c>
      <c r="U33" s="33" t="e">
        <f>tblRiskTreatmentPrograms[[#This Row],[Avg]]-tblRiskTreatmentPrograms[[#This Row],[Tgt Avg]]</f>
        <v>#DIV/0!</v>
      </c>
      <c r="V33" s="33">
        <f>tblRiskTreatmentPrograms[[#This Row],[Sum]]-tblRiskTreatmentPrograms[[#This Row],[Tgt Sum]]</f>
        <v>0</v>
      </c>
      <c r="W33" s="33"/>
      <c r="X33" s="109" t="s">
        <v>1055</v>
      </c>
      <c r="Y33" s="109" t="s">
        <v>1055</v>
      </c>
    </row>
    <row r="34" spans="2:25" ht="114" x14ac:dyDescent="0.45">
      <c r="B34" s="33" t="s">
        <v>23</v>
      </c>
      <c r="C34" s="33" t="s">
        <v>86</v>
      </c>
      <c r="D34" s="33"/>
      <c r="E34" s="33" t="str">
        <f>tblRiskTreatmentPrograms[[#This Row],[Common Security Program]]&amp;tblRiskTreatmentPrograms[[#This Row],[Common Security Control]]&amp;tblRiskTreatmentPrograms[[#This Row],[Asset Designation]]</f>
        <v>MaintenanceGovernance</v>
      </c>
      <c r="F34" s="33" t="s">
        <v>176</v>
      </c>
      <c r="G34" s="33" t="s">
        <v>687</v>
      </c>
      <c r="H34" s="33"/>
      <c r="I34" s="33">
        <f>COUNTIFS(tblRisk[Lookup],tblRiskTreatmentPrograms[[#This Row],[Lookup]])</f>
        <v>0</v>
      </c>
      <c r="J34" s="33" t="e">
        <f>AVERAGEIFS(tblRisk[Control Maturity],tblRisk[Lookup],tblRiskTreatmentPrograms[[#This Row],[Lookup]])</f>
        <v>#DIV/0!</v>
      </c>
      <c r="K34" s="33">
        <f>_xlfn.MAXIFS(tblRisk[Risk Score],tblRisk[Lookup],tblRiskTreatmentPrograms[[#This Row],[Lookup]])</f>
        <v>0</v>
      </c>
      <c r="L34" s="33" t="e">
        <f>AVERAGEIFS(tblRisk[Risk Score],tblRisk[Lookup],tblRiskTreatmentPrograms[[#This Row],[Lookup]])</f>
        <v>#DIV/0!</v>
      </c>
      <c r="M34" s="33">
        <f>SUMIFS(tblRisk[Risk Score],tblRisk[Lookup],tblRiskTreatmentPrograms[[#This Row],[Lookup]])</f>
        <v>0</v>
      </c>
      <c r="N34" s="33">
        <f>SUMIFS(tblRisk[Current Level of Risk],tblRisk[Lookup],tblRiskTreatmentPrograms[[#This Row],[Lookup]])</f>
        <v>0</v>
      </c>
      <c r="O34" s="33" t="e">
        <f>AVERAGEIFS(tblRisk[Control Maturity after SG],tblRisk[Lookup],tblRiskTreatmentPrograms[[#This Row],[Lookup]])</f>
        <v>#DIV/0!</v>
      </c>
      <c r="P34" s="33">
        <f>_xlfn.MAXIFS(tblRisk[Risk Score With Safeguard in Place],tblRisk[Lookup],tblRiskTreatmentPrograms[[#This Row],[Lookup]])</f>
        <v>0</v>
      </c>
      <c r="Q34" s="33" t="e">
        <f>AVERAGEIFS(tblRisk[Risk Score With Safeguard in Place],tblRisk[Lookup],tblRiskTreatmentPrograms[[#This Row],[Lookup]])</f>
        <v>#DIV/0!</v>
      </c>
      <c r="R34" s="33">
        <f>SUMIFS(tblRisk[Risk Score With Safeguard in Place],tblRisk[Lookup],tblRiskTreatmentPrograms[[#This Row],[Lookup]])</f>
        <v>0</v>
      </c>
      <c r="S34" s="33" t="e">
        <f>tblRiskTreatmentPrograms[[#This Row],[Tgt Avg Maturity]]-tblRiskTreatmentPrograms[[#This Row],[Avg Maturity]]</f>
        <v>#DIV/0!</v>
      </c>
      <c r="T34" s="33">
        <f>tblRiskTreatmentPrograms[[#This Row],[Max]]-tblRiskTreatmentPrograms[[#This Row],[Tgt Max]]</f>
        <v>0</v>
      </c>
      <c r="U34" s="33" t="e">
        <f>tblRiskTreatmentPrograms[[#This Row],[Avg]]-tblRiskTreatmentPrograms[[#This Row],[Tgt Avg]]</f>
        <v>#DIV/0!</v>
      </c>
      <c r="V34" s="33">
        <f>tblRiskTreatmentPrograms[[#This Row],[Sum]]-tblRiskTreatmentPrograms[[#This Row],[Tgt Sum]]</f>
        <v>0</v>
      </c>
      <c r="W34" s="33"/>
      <c r="X34" s="109" t="s">
        <v>1055</v>
      </c>
      <c r="Y34" s="109" t="s">
        <v>1055</v>
      </c>
    </row>
    <row r="35" spans="2:25" ht="85.5" x14ac:dyDescent="0.45">
      <c r="B35" s="33" t="s">
        <v>23</v>
      </c>
      <c r="C35" s="33" t="s">
        <v>88</v>
      </c>
      <c r="D35" s="33"/>
      <c r="E35" s="33" t="str">
        <f>tblRiskTreatmentPrograms[[#This Row],[Common Security Program]]&amp;tblRiskTreatmentPrograms[[#This Row],[Common Security Control]]&amp;tblRiskTreatmentPrograms[[#This Row],[Asset Designation]]</f>
        <v>MaintenanceOperation</v>
      </c>
      <c r="F35" s="33" t="s">
        <v>107</v>
      </c>
      <c r="G35" s="33" t="s">
        <v>688</v>
      </c>
      <c r="H35" s="33"/>
      <c r="I35" s="33">
        <f>COUNTIFS(tblRisk[Lookup],tblRiskTreatmentPrograms[[#This Row],[Lookup]])</f>
        <v>0</v>
      </c>
      <c r="J35" s="33" t="e">
        <f>AVERAGEIFS(tblRisk[Control Maturity],tblRisk[Lookup],tblRiskTreatmentPrograms[[#This Row],[Lookup]])</f>
        <v>#DIV/0!</v>
      </c>
      <c r="K35" s="33">
        <f>_xlfn.MAXIFS(tblRisk[Risk Score],tblRisk[Lookup],tblRiskTreatmentPrograms[[#This Row],[Lookup]])</f>
        <v>0</v>
      </c>
      <c r="L35" s="33" t="e">
        <f>AVERAGEIFS(tblRisk[Risk Score],tblRisk[Lookup],tblRiskTreatmentPrograms[[#This Row],[Lookup]])</f>
        <v>#DIV/0!</v>
      </c>
      <c r="M35" s="33">
        <f>SUMIFS(tblRisk[Risk Score],tblRisk[Lookup],tblRiskTreatmentPrograms[[#This Row],[Lookup]])</f>
        <v>0</v>
      </c>
      <c r="N35" s="33">
        <f>SUMIFS(tblRisk[Current Level of Risk],tblRisk[Lookup],tblRiskTreatmentPrograms[[#This Row],[Lookup]])</f>
        <v>0</v>
      </c>
      <c r="O35" s="33" t="e">
        <f>AVERAGEIFS(tblRisk[Control Maturity after SG],tblRisk[Lookup],tblRiskTreatmentPrograms[[#This Row],[Lookup]])</f>
        <v>#DIV/0!</v>
      </c>
      <c r="P35" s="33">
        <f>_xlfn.MAXIFS(tblRisk[Risk Score With Safeguard in Place],tblRisk[Lookup],tblRiskTreatmentPrograms[[#This Row],[Lookup]])</f>
        <v>0</v>
      </c>
      <c r="Q35" s="33" t="e">
        <f>AVERAGEIFS(tblRisk[Risk Score With Safeguard in Place],tblRisk[Lookup],tblRiskTreatmentPrograms[[#This Row],[Lookup]])</f>
        <v>#DIV/0!</v>
      </c>
      <c r="R35" s="33">
        <f>SUMIFS(tblRisk[Risk Score With Safeguard in Place],tblRisk[Lookup],tblRiskTreatmentPrograms[[#This Row],[Lookup]])</f>
        <v>0</v>
      </c>
      <c r="S35" s="33" t="e">
        <f>tblRiskTreatmentPrograms[[#This Row],[Tgt Avg Maturity]]-tblRiskTreatmentPrograms[[#This Row],[Avg Maturity]]</f>
        <v>#DIV/0!</v>
      </c>
      <c r="T35" s="33">
        <f>tblRiskTreatmentPrograms[[#This Row],[Max]]-tblRiskTreatmentPrograms[[#This Row],[Tgt Max]]</f>
        <v>0</v>
      </c>
      <c r="U35" s="33" t="e">
        <f>tblRiskTreatmentPrograms[[#This Row],[Avg]]-tblRiskTreatmentPrograms[[#This Row],[Tgt Avg]]</f>
        <v>#DIV/0!</v>
      </c>
      <c r="V35" s="33">
        <f>tblRiskTreatmentPrograms[[#This Row],[Sum]]-tblRiskTreatmentPrograms[[#This Row],[Tgt Sum]]</f>
        <v>0</v>
      </c>
      <c r="W35" s="33"/>
      <c r="X35" s="109" t="s">
        <v>1055</v>
      </c>
      <c r="Y35" s="109" t="s">
        <v>1055</v>
      </c>
    </row>
    <row r="36" spans="2:25" ht="114" x14ac:dyDescent="0.45">
      <c r="B36" s="33" t="s">
        <v>653</v>
      </c>
      <c r="C36" s="33" t="s">
        <v>86</v>
      </c>
      <c r="D36" s="33"/>
      <c r="E36" s="33" t="str">
        <f>tblRiskTreatmentPrograms[[#This Row],[Common Security Program]]&amp;tblRiskTreatmentPrograms[[#This Row],[Common Security Control]]&amp;tblRiskTreatmentPrograms[[#This Row],[Asset Designation]]</f>
        <v>System ManagementGovernance</v>
      </c>
      <c r="F36" s="33" t="s">
        <v>647</v>
      </c>
      <c r="G36" s="33" t="s">
        <v>689</v>
      </c>
      <c r="H36" s="33"/>
      <c r="I36" s="33">
        <f>COUNTIFS(tblRisk[Lookup],tblRiskTreatmentPrograms[[#This Row],[Lookup]])</f>
        <v>0</v>
      </c>
      <c r="J36" s="33" t="e">
        <f>AVERAGEIFS(tblRisk[Control Maturity],tblRisk[Lookup],tblRiskTreatmentPrograms[[#This Row],[Lookup]])</f>
        <v>#DIV/0!</v>
      </c>
      <c r="K36" s="33">
        <f>_xlfn.MAXIFS(tblRisk[Risk Score],tblRisk[Lookup],tblRiskTreatmentPrograms[[#This Row],[Lookup]])</f>
        <v>0</v>
      </c>
      <c r="L36" s="33" t="e">
        <f>AVERAGEIFS(tblRisk[Risk Score],tblRisk[Lookup],tblRiskTreatmentPrograms[[#This Row],[Lookup]])</f>
        <v>#DIV/0!</v>
      </c>
      <c r="M36" s="33">
        <f>SUMIFS(tblRisk[Risk Score],tblRisk[Lookup],tblRiskTreatmentPrograms[[#This Row],[Lookup]])</f>
        <v>0</v>
      </c>
      <c r="N36" s="33">
        <f>SUMIFS(tblRisk[Current Level of Risk],tblRisk[Lookup],tblRiskTreatmentPrograms[[#This Row],[Lookup]])</f>
        <v>0</v>
      </c>
      <c r="O36" s="33" t="e">
        <f>AVERAGEIFS(tblRisk[Control Maturity after SG],tblRisk[Lookup],tblRiskTreatmentPrograms[[#This Row],[Lookup]])</f>
        <v>#DIV/0!</v>
      </c>
      <c r="P36" s="33">
        <f>_xlfn.MAXIFS(tblRisk[Risk Score With Safeguard in Place],tblRisk[Lookup],tblRiskTreatmentPrograms[[#This Row],[Lookup]])</f>
        <v>0</v>
      </c>
      <c r="Q36" s="33" t="e">
        <f>AVERAGEIFS(tblRisk[Risk Score With Safeguard in Place],tblRisk[Lookup],tblRiskTreatmentPrograms[[#This Row],[Lookup]])</f>
        <v>#DIV/0!</v>
      </c>
      <c r="R36" s="33">
        <f>SUMIFS(tblRisk[Risk Score With Safeguard in Place],tblRisk[Lookup],tblRiskTreatmentPrograms[[#This Row],[Lookup]])</f>
        <v>0</v>
      </c>
      <c r="S36" s="33" t="e">
        <f>tblRiskTreatmentPrograms[[#This Row],[Tgt Avg Maturity]]-tblRiskTreatmentPrograms[[#This Row],[Avg Maturity]]</f>
        <v>#DIV/0!</v>
      </c>
      <c r="T36" s="33">
        <f>tblRiskTreatmentPrograms[[#This Row],[Max]]-tblRiskTreatmentPrograms[[#This Row],[Tgt Max]]</f>
        <v>0</v>
      </c>
      <c r="U36" s="33" t="e">
        <f>tblRiskTreatmentPrograms[[#This Row],[Avg]]-tblRiskTreatmentPrograms[[#This Row],[Tgt Avg]]</f>
        <v>#DIV/0!</v>
      </c>
      <c r="V36" s="33">
        <f>tblRiskTreatmentPrograms[[#This Row],[Sum]]-tblRiskTreatmentPrograms[[#This Row],[Tgt Sum]]</f>
        <v>0</v>
      </c>
      <c r="W36" s="33"/>
      <c r="X36" s="109" t="s">
        <v>1055</v>
      </c>
      <c r="Y36" s="109" t="s">
        <v>1055</v>
      </c>
    </row>
    <row r="37" spans="2:25" ht="71.25" x14ac:dyDescent="0.45">
      <c r="B37" s="33" t="s">
        <v>653</v>
      </c>
      <c r="C37" s="33" t="s">
        <v>88</v>
      </c>
      <c r="D37" s="33"/>
      <c r="E37" s="33" t="str">
        <f>tblRiskTreatmentPrograms[[#This Row],[Common Security Program]]&amp;tblRiskTreatmentPrograms[[#This Row],[Common Security Control]]&amp;tblRiskTreatmentPrograms[[#This Row],[Asset Designation]]</f>
        <v>System ManagementOperation</v>
      </c>
      <c r="F37" s="33" t="s">
        <v>648</v>
      </c>
      <c r="G37" s="33" t="s">
        <v>690</v>
      </c>
      <c r="H37" s="33"/>
      <c r="I37" s="33">
        <f>COUNTIFS(tblRisk[Lookup],tblRiskTreatmentPrograms[[#This Row],[Lookup]])</f>
        <v>0</v>
      </c>
      <c r="J37" s="33" t="e">
        <f>AVERAGEIFS(tblRisk[Control Maturity],tblRisk[Lookup],tblRiskTreatmentPrograms[[#This Row],[Lookup]])</f>
        <v>#DIV/0!</v>
      </c>
      <c r="K37" s="33">
        <f>_xlfn.MAXIFS(tblRisk[Risk Score],tblRisk[Lookup],tblRiskTreatmentPrograms[[#This Row],[Lookup]])</f>
        <v>0</v>
      </c>
      <c r="L37" s="33" t="e">
        <f>AVERAGEIFS(tblRisk[Risk Score],tblRisk[Lookup],tblRiskTreatmentPrograms[[#This Row],[Lookup]])</f>
        <v>#DIV/0!</v>
      </c>
      <c r="M37" s="33">
        <f>SUMIFS(tblRisk[Risk Score],tblRisk[Lookup],tblRiskTreatmentPrograms[[#This Row],[Lookup]])</f>
        <v>0</v>
      </c>
      <c r="N37" s="33">
        <f>SUMIFS(tblRisk[Current Level of Risk],tblRisk[Lookup],tblRiskTreatmentPrograms[[#This Row],[Lookup]])</f>
        <v>0</v>
      </c>
      <c r="O37" s="33" t="e">
        <f>AVERAGEIFS(tblRisk[Control Maturity after SG],tblRisk[Lookup],tblRiskTreatmentPrograms[[#This Row],[Lookup]])</f>
        <v>#DIV/0!</v>
      </c>
      <c r="P37" s="33">
        <f>_xlfn.MAXIFS(tblRisk[Risk Score With Safeguard in Place],tblRisk[Lookup],tblRiskTreatmentPrograms[[#This Row],[Lookup]])</f>
        <v>0</v>
      </c>
      <c r="Q37" s="33" t="e">
        <f>AVERAGEIFS(tblRisk[Risk Score With Safeguard in Place],tblRisk[Lookup],tblRiskTreatmentPrograms[[#This Row],[Lookup]])</f>
        <v>#DIV/0!</v>
      </c>
      <c r="R37" s="33">
        <f>SUMIFS(tblRisk[Risk Score With Safeguard in Place],tblRisk[Lookup],tblRiskTreatmentPrograms[[#This Row],[Lookup]])</f>
        <v>0</v>
      </c>
      <c r="S37" s="33" t="e">
        <f>tblRiskTreatmentPrograms[[#This Row],[Tgt Avg Maturity]]-tblRiskTreatmentPrograms[[#This Row],[Avg Maturity]]</f>
        <v>#DIV/0!</v>
      </c>
      <c r="T37" s="33">
        <f>tblRiskTreatmentPrograms[[#This Row],[Max]]-tblRiskTreatmentPrograms[[#This Row],[Tgt Max]]</f>
        <v>0</v>
      </c>
      <c r="U37" s="33" t="e">
        <f>tblRiskTreatmentPrograms[[#This Row],[Avg]]-tblRiskTreatmentPrograms[[#This Row],[Tgt Avg]]</f>
        <v>#DIV/0!</v>
      </c>
      <c r="V37" s="33">
        <f>tblRiskTreatmentPrograms[[#This Row],[Sum]]-tblRiskTreatmentPrograms[[#This Row],[Tgt Sum]]</f>
        <v>0</v>
      </c>
      <c r="W37" s="33"/>
      <c r="X37" s="109" t="s">
        <v>1055</v>
      </c>
      <c r="Y37" s="109" t="s">
        <v>1055</v>
      </c>
    </row>
    <row r="38" spans="2:25" ht="128.25" x14ac:dyDescent="0.45">
      <c r="B38" s="33" t="s">
        <v>654</v>
      </c>
      <c r="C38" s="33" t="s">
        <v>86</v>
      </c>
      <c r="D38" s="33"/>
      <c r="E38" s="33" t="str">
        <f>tblRiskTreatmentPrograms[[#This Row],[Common Security Program]]&amp;tblRiskTreatmentPrograms[[#This Row],[Common Security Control]]&amp;tblRiskTreatmentPrograms[[#This Row],[Asset Designation]]</f>
        <v>Network Device ManagementGovernance</v>
      </c>
      <c r="F38" s="33" t="s">
        <v>649</v>
      </c>
      <c r="G38" s="33" t="s">
        <v>691</v>
      </c>
      <c r="H38" s="33"/>
      <c r="I38" s="33">
        <f>COUNTIFS(tblRisk[Lookup],tblRiskTreatmentPrograms[[#This Row],[Lookup]])</f>
        <v>0</v>
      </c>
      <c r="J38" s="33" t="e">
        <f>AVERAGEIFS(tblRisk[Control Maturity],tblRisk[Lookup],tblRiskTreatmentPrograms[[#This Row],[Lookup]])</f>
        <v>#DIV/0!</v>
      </c>
      <c r="K38" s="33">
        <f>_xlfn.MAXIFS(tblRisk[Risk Score],tblRisk[Lookup],tblRiskTreatmentPrograms[[#This Row],[Lookup]])</f>
        <v>0</v>
      </c>
      <c r="L38" s="33" t="e">
        <f>AVERAGEIFS(tblRisk[Risk Score],tblRisk[Lookup],tblRiskTreatmentPrograms[[#This Row],[Lookup]])</f>
        <v>#DIV/0!</v>
      </c>
      <c r="M38" s="33">
        <f>SUMIFS(tblRisk[Risk Score],tblRisk[Lookup],tblRiskTreatmentPrograms[[#This Row],[Lookup]])</f>
        <v>0</v>
      </c>
      <c r="N38" s="33">
        <f>SUMIFS(tblRisk[Current Level of Risk],tblRisk[Lookup],tblRiskTreatmentPrograms[[#This Row],[Lookup]])</f>
        <v>0</v>
      </c>
      <c r="O38" s="33" t="e">
        <f>AVERAGEIFS(tblRisk[Control Maturity after SG],tblRisk[Lookup],tblRiskTreatmentPrograms[[#This Row],[Lookup]])</f>
        <v>#DIV/0!</v>
      </c>
      <c r="P38" s="33">
        <f>_xlfn.MAXIFS(tblRisk[Risk Score With Safeguard in Place],tblRisk[Lookup],tblRiskTreatmentPrograms[[#This Row],[Lookup]])</f>
        <v>0</v>
      </c>
      <c r="Q38" s="33" t="e">
        <f>AVERAGEIFS(tblRisk[Risk Score With Safeguard in Place],tblRisk[Lookup],tblRiskTreatmentPrograms[[#This Row],[Lookup]])</f>
        <v>#DIV/0!</v>
      </c>
      <c r="R38" s="33">
        <f>SUMIFS(tblRisk[Risk Score With Safeguard in Place],tblRisk[Lookup],tblRiskTreatmentPrograms[[#This Row],[Lookup]])</f>
        <v>0</v>
      </c>
      <c r="S38" s="33" t="e">
        <f>tblRiskTreatmentPrograms[[#This Row],[Tgt Avg Maturity]]-tblRiskTreatmentPrograms[[#This Row],[Avg Maturity]]</f>
        <v>#DIV/0!</v>
      </c>
      <c r="T38" s="33">
        <f>tblRiskTreatmentPrograms[[#This Row],[Max]]-tblRiskTreatmentPrograms[[#This Row],[Tgt Max]]</f>
        <v>0</v>
      </c>
      <c r="U38" s="33" t="e">
        <f>tblRiskTreatmentPrograms[[#This Row],[Avg]]-tblRiskTreatmentPrograms[[#This Row],[Tgt Avg]]</f>
        <v>#DIV/0!</v>
      </c>
      <c r="V38" s="33">
        <f>tblRiskTreatmentPrograms[[#This Row],[Sum]]-tblRiskTreatmentPrograms[[#This Row],[Tgt Sum]]</f>
        <v>0</v>
      </c>
      <c r="W38" s="33"/>
      <c r="X38" s="109" t="s">
        <v>1055</v>
      </c>
      <c r="Y38" s="109" t="s">
        <v>1055</v>
      </c>
    </row>
    <row r="39" spans="2:25" ht="71.25" x14ac:dyDescent="0.45">
      <c r="B39" s="33" t="s">
        <v>654</v>
      </c>
      <c r="C39" s="33" t="s">
        <v>88</v>
      </c>
      <c r="D39" s="33"/>
      <c r="E39" s="33" t="str">
        <f>tblRiskTreatmentPrograms[[#This Row],[Common Security Program]]&amp;tblRiskTreatmentPrograms[[#This Row],[Common Security Control]]&amp;tblRiskTreatmentPrograms[[#This Row],[Asset Designation]]</f>
        <v>Network Device ManagementOperation</v>
      </c>
      <c r="F39" s="33" t="s">
        <v>650</v>
      </c>
      <c r="G39" s="33" t="s">
        <v>692</v>
      </c>
      <c r="H39" s="33"/>
      <c r="I39" s="33">
        <f>COUNTIFS(tblRisk[Lookup],tblRiskTreatmentPrograms[[#This Row],[Lookup]])</f>
        <v>0</v>
      </c>
      <c r="J39" s="33" t="e">
        <f>AVERAGEIFS(tblRisk[Control Maturity],tblRisk[Lookup],tblRiskTreatmentPrograms[[#This Row],[Lookup]])</f>
        <v>#DIV/0!</v>
      </c>
      <c r="K39" s="33">
        <f>_xlfn.MAXIFS(tblRisk[Risk Score],tblRisk[Lookup],tblRiskTreatmentPrograms[[#This Row],[Lookup]])</f>
        <v>0</v>
      </c>
      <c r="L39" s="33" t="e">
        <f>AVERAGEIFS(tblRisk[Risk Score],tblRisk[Lookup],tblRiskTreatmentPrograms[[#This Row],[Lookup]])</f>
        <v>#DIV/0!</v>
      </c>
      <c r="M39" s="33">
        <f>SUMIFS(tblRisk[Risk Score],tblRisk[Lookup],tblRiskTreatmentPrograms[[#This Row],[Lookup]])</f>
        <v>0</v>
      </c>
      <c r="N39" s="33">
        <f>SUMIFS(tblRisk[Current Level of Risk],tblRisk[Lookup],tblRiskTreatmentPrograms[[#This Row],[Lookup]])</f>
        <v>0</v>
      </c>
      <c r="O39" s="33" t="e">
        <f>AVERAGEIFS(tblRisk[Control Maturity after SG],tblRisk[Lookup],tblRiskTreatmentPrograms[[#This Row],[Lookup]])</f>
        <v>#DIV/0!</v>
      </c>
      <c r="P39" s="33">
        <f>_xlfn.MAXIFS(tblRisk[Risk Score With Safeguard in Place],tblRisk[Lookup],tblRiskTreatmentPrograms[[#This Row],[Lookup]])</f>
        <v>0</v>
      </c>
      <c r="Q39" s="33" t="e">
        <f>AVERAGEIFS(tblRisk[Risk Score With Safeguard in Place],tblRisk[Lookup],tblRiskTreatmentPrograms[[#This Row],[Lookup]])</f>
        <v>#DIV/0!</v>
      </c>
      <c r="R39" s="33">
        <f>SUMIFS(tblRisk[Risk Score With Safeguard in Place],tblRisk[Lookup],tblRiskTreatmentPrograms[[#This Row],[Lookup]])</f>
        <v>0</v>
      </c>
      <c r="S39" s="33" t="e">
        <f>tblRiskTreatmentPrograms[[#This Row],[Tgt Avg Maturity]]-tblRiskTreatmentPrograms[[#This Row],[Avg Maturity]]</f>
        <v>#DIV/0!</v>
      </c>
      <c r="T39" s="33">
        <f>tblRiskTreatmentPrograms[[#This Row],[Max]]-tblRiskTreatmentPrograms[[#This Row],[Tgt Max]]</f>
        <v>0</v>
      </c>
      <c r="U39" s="33" t="e">
        <f>tblRiskTreatmentPrograms[[#This Row],[Avg]]-tblRiskTreatmentPrograms[[#This Row],[Tgt Avg]]</f>
        <v>#DIV/0!</v>
      </c>
      <c r="V39" s="33">
        <f>tblRiskTreatmentPrograms[[#This Row],[Sum]]-tblRiskTreatmentPrograms[[#This Row],[Tgt Sum]]</f>
        <v>0</v>
      </c>
      <c r="W39" s="33"/>
      <c r="X39" s="109" t="s">
        <v>1055</v>
      </c>
      <c r="Y39" s="109" t="s">
        <v>1055</v>
      </c>
    </row>
    <row r="40" spans="2:25" ht="199.5" x14ac:dyDescent="0.45">
      <c r="B40" s="33" t="s">
        <v>24</v>
      </c>
      <c r="C40" s="33" t="s">
        <v>86</v>
      </c>
      <c r="D40" s="33"/>
      <c r="E40" s="33" t="str">
        <f>tblRiskTreatmentPrograms[[#This Row],[Common Security Program]]&amp;tblRiskTreatmentPrograms[[#This Row],[Common Security Control]]&amp;tblRiskTreatmentPrograms[[#This Row],[Asset Designation]]</f>
        <v>Network ArchitectureGovernance</v>
      </c>
      <c r="F40" s="33" t="s">
        <v>108</v>
      </c>
      <c r="G40" s="33" t="s">
        <v>693</v>
      </c>
      <c r="H40" s="33"/>
      <c r="I40" s="33">
        <f>COUNTIFS(tblRisk[Lookup],tblRiskTreatmentPrograms[[#This Row],[Lookup]])</f>
        <v>0</v>
      </c>
      <c r="J40" s="33" t="e">
        <f>AVERAGEIFS(tblRisk[Control Maturity],tblRisk[Lookup],tblRiskTreatmentPrograms[[#This Row],[Lookup]])</f>
        <v>#DIV/0!</v>
      </c>
      <c r="K40" s="33">
        <f>_xlfn.MAXIFS(tblRisk[Risk Score],tblRisk[Lookup],tblRiskTreatmentPrograms[[#This Row],[Lookup]])</f>
        <v>0</v>
      </c>
      <c r="L40" s="33" t="e">
        <f>AVERAGEIFS(tblRisk[Risk Score],tblRisk[Lookup],tblRiskTreatmentPrograms[[#This Row],[Lookup]])</f>
        <v>#DIV/0!</v>
      </c>
      <c r="M40" s="33">
        <f>SUMIFS(tblRisk[Risk Score],tblRisk[Lookup],tblRiskTreatmentPrograms[[#This Row],[Lookup]])</f>
        <v>0</v>
      </c>
      <c r="N40" s="33">
        <f>SUMIFS(tblRisk[Current Level of Risk],tblRisk[Lookup],tblRiskTreatmentPrograms[[#This Row],[Lookup]])</f>
        <v>0</v>
      </c>
      <c r="O40" s="33" t="e">
        <f>AVERAGEIFS(tblRisk[Control Maturity after SG],tblRisk[Lookup],tblRiskTreatmentPrograms[[#This Row],[Lookup]])</f>
        <v>#DIV/0!</v>
      </c>
      <c r="P40" s="33">
        <f>_xlfn.MAXIFS(tblRisk[Risk Score With Safeguard in Place],tblRisk[Lookup],tblRiskTreatmentPrograms[[#This Row],[Lookup]])</f>
        <v>0</v>
      </c>
      <c r="Q40" s="33" t="e">
        <f>AVERAGEIFS(tblRisk[Risk Score With Safeguard in Place],tblRisk[Lookup],tblRiskTreatmentPrograms[[#This Row],[Lookup]])</f>
        <v>#DIV/0!</v>
      </c>
      <c r="R40" s="33">
        <f>SUMIFS(tblRisk[Risk Score With Safeguard in Place],tblRisk[Lookup],tblRiskTreatmentPrograms[[#This Row],[Lookup]])</f>
        <v>0</v>
      </c>
      <c r="S40" s="33" t="e">
        <f>tblRiskTreatmentPrograms[[#This Row],[Tgt Avg Maturity]]-tblRiskTreatmentPrograms[[#This Row],[Avg Maturity]]</f>
        <v>#DIV/0!</v>
      </c>
      <c r="T40" s="33">
        <f>tblRiskTreatmentPrograms[[#This Row],[Max]]-tblRiskTreatmentPrograms[[#This Row],[Tgt Max]]</f>
        <v>0</v>
      </c>
      <c r="U40" s="33" t="e">
        <f>tblRiskTreatmentPrograms[[#This Row],[Avg]]-tblRiskTreatmentPrograms[[#This Row],[Tgt Avg]]</f>
        <v>#DIV/0!</v>
      </c>
      <c r="V40" s="33">
        <f>tblRiskTreatmentPrograms[[#This Row],[Sum]]-tblRiskTreatmentPrograms[[#This Row],[Tgt Sum]]</f>
        <v>0</v>
      </c>
      <c r="W40" s="33"/>
      <c r="X40" s="109" t="s">
        <v>1055</v>
      </c>
      <c r="Y40" s="109" t="s">
        <v>1055</v>
      </c>
    </row>
    <row r="41" spans="2:25" ht="171" x14ac:dyDescent="0.45">
      <c r="B41" s="33" t="s">
        <v>24</v>
      </c>
      <c r="C41" s="33" t="s">
        <v>88</v>
      </c>
      <c r="D41" s="33"/>
      <c r="E41" s="33" t="str">
        <f>tblRiskTreatmentPrograms[[#This Row],[Common Security Program]]&amp;tblRiskTreatmentPrograms[[#This Row],[Common Security Control]]&amp;tblRiskTreatmentPrograms[[#This Row],[Asset Designation]]</f>
        <v>Network ArchitectureOperation</v>
      </c>
      <c r="F41" s="33" t="s">
        <v>109</v>
      </c>
      <c r="G41" s="33" t="s">
        <v>694</v>
      </c>
      <c r="H41" s="33"/>
      <c r="I41" s="33">
        <f>COUNTIFS(tblRisk[Lookup],tblRiskTreatmentPrograms[[#This Row],[Lookup]])</f>
        <v>0</v>
      </c>
      <c r="J41" s="33" t="e">
        <f>AVERAGEIFS(tblRisk[Control Maturity],tblRisk[Lookup],tblRiskTreatmentPrograms[[#This Row],[Lookup]])</f>
        <v>#DIV/0!</v>
      </c>
      <c r="K41" s="33">
        <f>_xlfn.MAXIFS(tblRisk[Risk Score],tblRisk[Lookup],tblRiskTreatmentPrograms[[#This Row],[Lookup]])</f>
        <v>0</v>
      </c>
      <c r="L41" s="33" t="e">
        <f>AVERAGEIFS(tblRisk[Risk Score],tblRisk[Lookup],tblRiskTreatmentPrograms[[#This Row],[Lookup]])</f>
        <v>#DIV/0!</v>
      </c>
      <c r="M41" s="33">
        <f>SUMIFS(tblRisk[Risk Score],tblRisk[Lookup],tblRiskTreatmentPrograms[[#This Row],[Lookup]])</f>
        <v>0</v>
      </c>
      <c r="N41" s="33">
        <f>SUMIFS(tblRisk[Current Level of Risk],tblRisk[Lookup],tblRiskTreatmentPrograms[[#This Row],[Lookup]])</f>
        <v>0</v>
      </c>
      <c r="O41" s="33" t="e">
        <f>AVERAGEIFS(tblRisk[Control Maturity after SG],tblRisk[Lookup],tblRiskTreatmentPrograms[[#This Row],[Lookup]])</f>
        <v>#DIV/0!</v>
      </c>
      <c r="P41" s="33">
        <f>_xlfn.MAXIFS(tblRisk[Risk Score With Safeguard in Place],tblRisk[Lookup],tblRiskTreatmentPrograms[[#This Row],[Lookup]])</f>
        <v>0</v>
      </c>
      <c r="Q41" s="33" t="e">
        <f>AVERAGEIFS(tblRisk[Risk Score With Safeguard in Place],tblRisk[Lookup],tblRiskTreatmentPrograms[[#This Row],[Lookup]])</f>
        <v>#DIV/0!</v>
      </c>
      <c r="R41" s="33">
        <f>SUMIFS(tblRisk[Risk Score With Safeguard in Place],tblRisk[Lookup],tblRiskTreatmentPrograms[[#This Row],[Lookup]])</f>
        <v>0</v>
      </c>
      <c r="S41" s="33" t="e">
        <f>tblRiskTreatmentPrograms[[#This Row],[Tgt Avg Maturity]]-tblRiskTreatmentPrograms[[#This Row],[Avg Maturity]]</f>
        <v>#DIV/0!</v>
      </c>
      <c r="T41" s="33">
        <f>tblRiskTreatmentPrograms[[#This Row],[Max]]-tblRiskTreatmentPrograms[[#This Row],[Tgt Max]]</f>
        <v>0</v>
      </c>
      <c r="U41" s="33" t="e">
        <f>tblRiskTreatmentPrograms[[#This Row],[Avg]]-tblRiskTreatmentPrograms[[#This Row],[Tgt Avg]]</f>
        <v>#DIV/0!</v>
      </c>
      <c r="V41" s="33">
        <f>tblRiskTreatmentPrograms[[#This Row],[Sum]]-tblRiskTreatmentPrograms[[#This Row],[Tgt Sum]]</f>
        <v>0</v>
      </c>
      <c r="W41" s="33"/>
      <c r="X41" s="109" t="s">
        <v>1055</v>
      </c>
      <c r="Y41" s="109" t="s">
        <v>1055</v>
      </c>
    </row>
    <row r="42" spans="2:25" ht="114" x14ac:dyDescent="0.45">
      <c r="B42" s="33" t="s">
        <v>655</v>
      </c>
      <c r="C42" s="33" t="s">
        <v>86</v>
      </c>
      <c r="D42" s="33"/>
      <c r="E42" s="33" t="str">
        <f>tblRiskTreatmentPrograms[[#This Row],[Common Security Program]]&amp;tblRiskTreatmentPrograms[[#This Row],[Common Security Control]]&amp;tblRiskTreatmentPrograms[[#This Row],[Asset Designation]]</f>
        <v>Application ManagementGovernance</v>
      </c>
      <c r="F42" s="33" t="s">
        <v>651</v>
      </c>
      <c r="G42" s="33" t="s">
        <v>695</v>
      </c>
      <c r="H42" s="33"/>
      <c r="I42" s="33">
        <f>COUNTIFS(tblRisk[Lookup],tblRiskTreatmentPrograms[[#This Row],[Lookup]])</f>
        <v>0</v>
      </c>
      <c r="J42" s="33" t="e">
        <f>AVERAGEIFS(tblRisk[Control Maturity],tblRisk[Lookup],tblRiskTreatmentPrograms[[#This Row],[Lookup]])</f>
        <v>#DIV/0!</v>
      </c>
      <c r="K42" s="33">
        <f>_xlfn.MAXIFS(tblRisk[Risk Score],tblRisk[Lookup],tblRiskTreatmentPrograms[[#This Row],[Lookup]])</f>
        <v>0</v>
      </c>
      <c r="L42" s="33" t="e">
        <f>AVERAGEIFS(tblRisk[Risk Score],tblRisk[Lookup],tblRiskTreatmentPrograms[[#This Row],[Lookup]])</f>
        <v>#DIV/0!</v>
      </c>
      <c r="M42" s="33">
        <f>SUMIFS(tblRisk[Risk Score],tblRisk[Lookup],tblRiskTreatmentPrograms[[#This Row],[Lookup]])</f>
        <v>0</v>
      </c>
      <c r="N42" s="33">
        <f>SUMIFS(tblRisk[Current Level of Risk],tblRisk[Lookup],tblRiskTreatmentPrograms[[#This Row],[Lookup]])</f>
        <v>0</v>
      </c>
      <c r="O42" s="33" t="e">
        <f>AVERAGEIFS(tblRisk[Control Maturity after SG],tblRisk[Lookup],tblRiskTreatmentPrograms[[#This Row],[Lookup]])</f>
        <v>#DIV/0!</v>
      </c>
      <c r="P42" s="33">
        <f>_xlfn.MAXIFS(tblRisk[Risk Score With Safeguard in Place],tblRisk[Lookup],tblRiskTreatmentPrograms[[#This Row],[Lookup]])</f>
        <v>0</v>
      </c>
      <c r="Q42" s="33" t="e">
        <f>AVERAGEIFS(tblRisk[Risk Score With Safeguard in Place],tblRisk[Lookup],tblRiskTreatmentPrograms[[#This Row],[Lookup]])</f>
        <v>#DIV/0!</v>
      </c>
      <c r="R42" s="33">
        <f>SUMIFS(tblRisk[Risk Score With Safeguard in Place],tblRisk[Lookup],tblRiskTreatmentPrograms[[#This Row],[Lookup]])</f>
        <v>0</v>
      </c>
      <c r="S42" s="33" t="e">
        <f>tblRiskTreatmentPrograms[[#This Row],[Tgt Avg Maturity]]-tblRiskTreatmentPrograms[[#This Row],[Avg Maturity]]</f>
        <v>#DIV/0!</v>
      </c>
      <c r="T42" s="33">
        <f>tblRiskTreatmentPrograms[[#This Row],[Max]]-tblRiskTreatmentPrograms[[#This Row],[Tgt Max]]</f>
        <v>0</v>
      </c>
      <c r="U42" s="33" t="e">
        <f>tblRiskTreatmentPrograms[[#This Row],[Avg]]-tblRiskTreatmentPrograms[[#This Row],[Tgt Avg]]</f>
        <v>#DIV/0!</v>
      </c>
      <c r="V42" s="33">
        <f>tblRiskTreatmentPrograms[[#This Row],[Sum]]-tblRiskTreatmentPrograms[[#This Row],[Tgt Sum]]</f>
        <v>0</v>
      </c>
      <c r="W42" s="33"/>
      <c r="X42" s="109" t="s">
        <v>1055</v>
      </c>
      <c r="Y42" s="109" t="s">
        <v>1055</v>
      </c>
    </row>
    <row r="43" spans="2:25" ht="71.25" x14ac:dyDescent="0.45">
      <c r="B43" s="33" t="s">
        <v>655</v>
      </c>
      <c r="C43" s="33" t="s">
        <v>88</v>
      </c>
      <c r="D43" s="33"/>
      <c r="E43" s="33" t="str">
        <f>tblRiskTreatmentPrograms[[#This Row],[Common Security Program]]&amp;tblRiskTreatmentPrograms[[#This Row],[Common Security Control]]&amp;tblRiskTreatmentPrograms[[#This Row],[Asset Designation]]</f>
        <v>Application ManagementOperation</v>
      </c>
      <c r="F43" s="33" t="s">
        <v>652</v>
      </c>
      <c r="G43" s="33" t="s">
        <v>696</v>
      </c>
      <c r="H43" s="33"/>
      <c r="I43" s="33">
        <f>COUNTIFS(tblRisk[Lookup],tblRiskTreatmentPrograms[[#This Row],[Lookup]])</f>
        <v>0</v>
      </c>
      <c r="J43" s="33" t="e">
        <f>AVERAGEIFS(tblRisk[Control Maturity],tblRisk[Lookup],tblRiskTreatmentPrograms[[#This Row],[Lookup]])</f>
        <v>#DIV/0!</v>
      </c>
      <c r="K43" s="33">
        <f>_xlfn.MAXIFS(tblRisk[Risk Score],tblRisk[Lookup],tblRiskTreatmentPrograms[[#This Row],[Lookup]])</f>
        <v>0</v>
      </c>
      <c r="L43" s="33" t="e">
        <f>AVERAGEIFS(tblRisk[Risk Score],tblRisk[Lookup],tblRiskTreatmentPrograms[[#This Row],[Lookup]])</f>
        <v>#DIV/0!</v>
      </c>
      <c r="M43" s="33">
        <f>SUMIFS(tblRisk[Risk Score],tblRisk[Lookup],tblRiskTreatmentPrograms[[#This Row],[Lookup]])</f>
        <v>0</v>
      </c>
      <c r="N43" s="33">
        <f>SUMIFS(tblRisk[Current Level of Risk],tblRisk[Lookup],tblRiskTreatmentPrograms[[#This Row],[Lookup]])</f>
        <v>0</v>
      </c>
      <c r="O43" s="33" t="e">
        <f>AVERAGEIFS(tblRisk[Control Maturity after SG],tblRisk[Lookup],tblRiskTreatmentPrograms[[#This Row],[Lookup]])</f>
        <v>#DIV/0!</v>
      </c>
      <c r="P43" s="33">
        <f>_xlfn.MAXIFS(tblRisk[Risk Score With Safeguard in Place],tblRisk[Lookup],tblRiskTreatmentPrograms[[#This Row],[Lookup]])</f>
        <v>0</v>
      </c>
      <c r="Q43" s="33" t="e">
        <f>AVERAGEIFS(tblRisk[Risk Score With Safeguard in Place],tblRisk[Lookup],tblRiskTreatmentPrograms[[#This Row],[Lookup]])</f>
        <v>#DIV/0!</v>
      </c>
      <c r="R43" s="33">
        <f>SUMIFS(tblRisk[Risk Score With Safeguard in Place],tblRisk[Lookup],tblRiskTreatmentPrograms[[#This Row],[Lookup]])</f>
        <v>0</v>
      </c>
      <c r="S43" s="33" t="e">
        <f>tblRiskTreatmentPrograms[[#This Row],[Tgt Avg Maturity]]-tblRiskTreatmentPrograms[[#This Row],[Avg Maturity]]</f>
        <v>#DIV/0!</v>
      </c>
      <c r="T43" s="33">
        <f>tblRiskTreatmentPrograms[[#This Row],[Max]]-tblRiskTreatmentPrograms[[#This Row],[Tgt Max]]</f>
        <v>0</v>
      </c>
      <c r="U43" s="33" t="e">
        <f>tblRiskTreatmentPrograms[[#This Row],[Avg]]-tblRiskTreatmentPrograms[[#This Row],[Tgt Avg]]</f>
        <v>#DIV/0!</v>
      </c>
      <c r="V43" s="33">
        <f>tblRiskTreatmentPrograms[[#This Row],[Sum]]-tblRiskTreatmentPrograms[[#This Row],[Tgt Sum]]</f>
        <v>0</v>
      </c>
      <c r="W43" s="33"/>
      <c r="X43" s="109" t="s">
        <v>1055</v>
      </c>
      <c r="Y43" s="109" t="s">
        <v>1055</v>
      </c>
    </row>
    <row r="44" spans="2:25" ht="114" x14ac:dyDescent="0.45">
      <c r="B44" s="33" t="s">
        <v>25</v>
      </c>
      <c r="C44" s="33" t="s">
        <v>86</v>
      </c>
      <c r="D44" s="33"/>
      <c r="E44" s="33" t="str">
        <f>tblRiskTreatmentPrograms[[#This Row],[Common Security Program]]&amp;tblRiskTreatmentPrograms[[#This Row],[Common Security Control]]&amp;tblRiskTreatmentPrograms[[#This Row],[Asset Designation]]</f>
        <v>Security AwarenessGovernance</v>
      </c>
      <c r="F44" s="33" t="s">
        <v>177</v>
      </c>
      <c r="G44" s="33" t="s">
        <v>697</v>
      </c>
      <c r="H44" s="33"/>
      <c r="I44" s="33">
        <f>COUNTIFS(tblRisk[Lookup],tblRiskTreatmentPrograms[[#This Row],[Lookup]])</f>
        <v>0</v>
      </c>
      <c r="J44" s="33" t="e">
        <f>AVERAGEIFS(tblRisk[Control Maturity],tblRisk[Lookup],tblRiskTreatmentPrograms[[#This Row],[Lookup]])</f>
        <v>#DIV/0!</v>
      </c>
      <c r="K44" s="33">
        <f>_xlfn.MAXIFS(tblRisk[Risk Score],tblRisk[Lookup],tblRiskTreatmentPrograms[[#This Row],[Lookup]])</f>
        <v>0</v>
      </c>
      <c r="L44" s="33" t="e">
        <f>AVERAGEIFS(tblRisk[Risk Score],tblRisk[Lookup],tblRiskTreatmentPrograms[[#This Row],[Lookup]])</f>
        <v>#DIV/0!</v>
      </c>
      <c r="M44" s="33">
        <f>SUMIFS(tblRisk[Risk Score],tblRisk[Lookup],tblRiskTreatmentPrograms[[#This Row],[Lookup]])</f>
        <v>0</v>
      </c>
      <c r="N44" s="33">
        <f>SUMIFS(tblRisk[Current Level of Risk],tblRisk[Lookup],tblRiskTreatmentPrograms[[#This Row],[Lookup]])</f>
        <v>0</v>
      </c>
      <c r="O44" s="33" t="e">
        <f>AVERAGEIFS(tblRisk[Control Maturity after SG],tblRisk[Lookup],tblRiskTreatmentPrograms[[#This Row],[Lookup]])</f>
        <v>#DIV/0!</v>
      </c>
      <c r="P44" s="33">
        <f>_xlfn.MAXIFS(tblRisk[Risk Score With Safeguard in Place],tblRisk[Lookup],tblRiskTreatmentPrograms[[#This Row],[Lookup]])</f>
        <v>0</v>
      </c>
      <c r="Q44" s="33" t="e">
        <f>AVERAGEIFS(tblRisk[Risk Score With Safeguard in Place],tblRisk[Lookup],tblRiskTreatmentPrograms[[#This Row],[Lookup]])</f>
        <v>#DIV/0!</v>
      </c>
      <c r="R44" s="33">
        <f>SUMIFS(tblRisk[Risk Score With Safeguard in Place],tblRisk[Lookup],tblRiskTreatmentPrograms[[#This Row],[Lookup]])</f>
        <v>0</v>
      </c>
      <c r="S44" s="33" t="e">
        <f>tblRiskTreatmentPrograms[[#This Row],[Tgt Avg Maturity]]-tblRiskTreatmentPrograms[[#This Row],[Avg Maturity]]</f>
        <v>#DIV/0!</v>
      </c>
      <c r="T44" s="33">
        <f>tblRiskTreatmentPrograms[[#This Row],[Max]]-tblRiskTreatmentPrograms[[#This Row],[Tgt Max]]</f>
        <v>0</v>
      </c>
      <c r="U44" s="33" t="e">
        <f>tblRiskTreatmentPrograms[[#This Row],[Avg]]-tblRiskTreatmentPrograms[[#This Row],[Tgt Avg]]</f>
        <v>#DIV/0!</v>
      </c>
      <c r="V44" s="33">
        <f>tblRiskTreatmentPrograms[[#This Row],[Sum]]-tblRiskTreatmentPrograms[[#This Row],[Tgt Sum]]</f>
        <v>0</v>
      </c>
      <c r="W44" s="33"/>
      <c r="X44" s="109" t="s">
        <v>1055</v>
      </c>
      <c r="Y44" s="109" t="s">
        <v>1055</v>
      </c>
    </row>
    <row r="45" spans="2:25" ht="85.5" x14ac:dyDescent="0.45">
      <c r="B45" s="33" t="s">
        <v>25</v>
      </c>
      <c r="C45" s="33" t="s">
        <v>88</v>
      </c>
      <c r="D45" s="33"/>
      <c r="E45" s="33" t="str">
        <f>tblRiskTreatmentPrograms[[#This Row],[Common Security Program]]&amp;tblRiskTreatmentPrograms[[#This Row],[Common Security Control]]&amp;tblRiskTreatmentPrograms[[#This Row],[Asset Designation]]</f>
        <v>Security AwarenessOperation</v>
      </c>
      <c r="F45" s="33" t="s">
        <v>178</v>
      </c>
      <c r="G45" s="33" t="s">
        <v>698</v>
      </c>
      <c r="H45" s="33"/>
      <c r="I45" s="33">
        <f>COUNTIFS(tblRisk[Lookup],tblRiskTreatmentPrograms[[#This Row],[Lookup]])</f>
        <v>0</v>
      </c>
      <c r="J45" s="33" t="e">
        <f>AVERAGEIFS(tblRisk[Control Maturity],tblRisk[Lookup],tblRiskTreatmentPrograms[[#This Row],[Lookup]])</f>
        <v>#DIV/0!</v>
      </c>
      <c r="K45" s="33">
        <f>_xlfn.MAXIFS(tblRisk[Risk Score],tblRisk[Lookup],tblRiskTreatmentPrograms[[#This Row],[Lookup]])</f>
        <v>0</v>
      </c>
      <c r="L45" s="33" t="e">
        <f>AVERAGEIFS(tblRisk[Risk Score],tblRisk[Lookup],tblRiskTreatmentPrograms[[#This Row],[Lookup]])</f>
        <v>#DIV/0!</v>
      </c>
      <c r="M45" s="33">
        <f>SUMIFS(tblRisk[Risk Score],tblRisk[Lookup],tblRiskTreatmentPrograms[[#This Row],[Lookup]])</f>
        <v>0</v>
      </c>
      <c r="N45" s="33">
        <f>SUMIFS(tblRisk[Current Level of Risk],tblRisk[Lookup],tblRiskTreatmentPrograms[[#This Row],[Lookup]])</f>
        <v>0</v>
      </c>
      <c r="O45" s="33" t="e">
        <f>AVERAGEIFS(tblRisk[Control Maturity after SG],tblRisk[Lookup],tblRiskTreatmentPrograms[[#This Row],[Lookup]])</f>
        <v>#DIV/0!</v>
      </c>
      <c r="P45" s="33">
        <f>_xlfn.MAXIFS(tblRisk[Risk Score With Safeguard in Place],tblRisk[Lookup],tblRiskTreatmentPrograms[[#This Row],[Lookup]])</f>
        <v>0</v>
      </c>
      <c r="Q45" s="33" t="e">
        <f>AVERAGEIFS(tblRisk[Risk Score With Safeguard in Place],tblRisk[Lookup],tblRiskTreatmentPrograms[[#This Row],[Lookup]])</f>
        <v>#DIV/0!</v>
      </c>
      <c r="R45" s="33">
        <f>SUMIFS(tblRisk[Risk Score With Safeguard in Place],tblRisk[Lookup],tblRiskTreatmentPrograms[[#This Row],[Lookup]])</f>
        <v>0</v>
      </c>
      <c r="S45" s="33" t="e">
        <f>tblRiskTreatmentPrograms[[#This Row],[Tgt Avg Maturity]]-tblRiskTreatmentPrograms[[#This Row],[Avg Maturity]]</f>
        <v>#DIV/0!</v>
      </c>
      <c r="T45" s="33">
        <f>tblRiskTreatmentPrograms[[#This Row],[Max]]-tblRiskTreatmentPrograms[[#This Row],[Tgt Max]]</f>
        <v>0</v>
      </c>
      <c r="U45" s="33" t="e">
        <f>tblRiskTreatmentPrograms[[#This Row],[Avg]]-tblRiskTreatmentPrograms[[#This Row],[Tgt Avg]]</f>
        <v>#DIV/0!</v>
      </c>
      <c r="V45" s="33">
        <f>tblRiskTreatmentPrograms[[#This Row],[Sum]]-tblRiskTreatmentPrograms[[#This Row],[Tgt Sum]]</f>
        <v>0</v>
      </c>
      <c r="W45" s="33"/>
      <c r="X45" s="109" t="s">
        <v>1055</v>
      </c>
      <c r="Y45" s="109" t="s">
        <v>1055</v>
      </c>
    </row>
    <row r="46" spans="2:25" ht="99.75" x14ac:dyDescent="0.45">
      <c r="B46" s="33" t="s">
        <v>26</v>
      </c>
      <c r="C46" s="33" t="s">
        <v>86</v>
      </c>
      <c r="D46" s="33"/>
      <c r="E46" s="33" t="str">
        <f>tblRiskTreatmentPrograms[[#This Row],[Common Security Program]]&amp;tblRiskTreatmentPrograms[[#This Row],[Common Security Control]]&amp;tblRiskTreatmentPrograms[[#This Row],[Asset Designation]]</f>
        <v>HR SecurityGovernance</v>
      </c>
      <c r="F46" s="33" t="s">
        <v>179</v>
      </c>
      <c r="G46" s="33" t="s">
        <v>699</v>
      </c>
      <c r="H46" s="33"/>
      <c r="I46" s="33">
        <f>COUNTIFS(tblRisk[Lookup],tblRiskTreatmentPrograms[[#This Row],[Lookup]])</f>
        <v>0</v>
      </c>
      <c r="J46" s="33" t="e">
        <f>AVERAGEIFS(tblRisk[Control Maturity],tblRisk[Lookup],tblRiskTreatmentPrograms[[#This Row],[Lookup]])</f>
        <v>#DIV/0!</v>
      </c>
      <c r="K46" s="33">
        <f>_xlfn.MAXIFS(tblRisk[Risk Score],tblRisk[Lookup],tblRiskTreatmentPrograms[[#This Row],[Lookup]])</f>
        <v>0</v>
      </c>
      <c r="L46" s="33" t="e">
        <f>AVERAGEIFS(tblRisk[Risk Score],tblRisk[Lookup],tblRiskTreatmentPrograms[[#This Row],[Lookup]])</f>
        <v>#DIV/0!</v>
      </c>
      <c r="M46" s="33">
        <f>SUMIFS(tblRisk[Risk Score],tblRisk[Lookup],tblRiskTreatmentPrograms[[#This Row],[Lookup]])</f>
        <v>0</v>
      </c>
      <c r="N46" s="33">
        <f>SUMIFS(tblRisk[Current Level of Risk],tblRisk[Lookup],tblRiskTreatmentPrograms[[#This Row],[Lookup]])</f>
        <v>0</v>
      </c>
      <c r="O46" s="33" t="e">
        <f>AVERAGEIFS(tblRisk[Control Maturity after SG],tblRisk[Lookup],tblRiskTreatmentPrograms[[#This Row],[Lookup]])</f>
        <v>#DIV/0!</v>
      </c>
      <c r="P46" s="33">
        <f>_xlfn.MAXIFS(tblRisk[Risk Score With Safeguard in Place],tblRisk[Lookup],tblRiskTreatmentPrograms[[#This Row],[Lookup]])</f>
        <v>0</v>
      </c>
      <c r="Q46" s="33" t="e">
        <f>AVERAGEIFS(tblRisk[Risk Score With Safeguard in Place],tblRisk[Lookup],tblRiskTreatmentPrograms[[#This Row],[Lookup]])</f>
        <v>#DIV/0!</v>
      </c>
      <c r="R46" s="33">
        <f>SUMIFS(tblRisk[Risk Score With Safeguard in Place],tblRisk[Lookup],tblRiskTreatmentPrograms[[#This Row],[Lookup]])</f>
        <v>0</v>
      </c>
      <c r="S46" s="33" t="e">
        <f>tblRiskTreatmentPrograms[[#This Row],[Tgt Avg Maturity]]-tblRiskTreatmentPrograms[[#This Row],[Avg Maturity]]</f>
        <v>#DIV/0!</v>
      </c>
      <c r="T46" s="33">
        <f>tblRiskTreatmentPrograms[[#This Row],[Max]]-tblRiskTreatmentPrograms[[#This Row],[Tgt Max]]</f>
        <v>0</v>
      </c>
      <c r="U46" s="33" t="e">
        <f>tblRiskTreatmentPrograms[[#This Row],[Avg]]-tblRiskTreatmentPrograms[[#This Row],[Tgt Avg]]</f>
        <v>#DIV/0!</v>
      </c>
      <c r="V46" s="33">
        <f>tblRiskTreatmentPrograms[[#This Row],[Sum]]-tblRiskTreatmentPrograms[[#This Row],[Tgt Sum]]</f>
        <v>0</v>
      </c>
      <c r="W46" s="33"/>
      <c r="X46" s="109" t="s">
        <v>1055</v>
      </c>
      <c r="Y46" s="109" t="s">
        <v>1055</v>
      </c>
    </row>
    <row r="47" spans="2:25" ht="71.25" x14ac:dyDescent="0.45">
      <c r="B47" s="33" t="s">
        <v>26</v>
      </c>
      <c r="C47" s="33" t="s">
        <v>88</v>
      </c>
      <c r="D47" s="33"/>
      <c r="E47" s="33" t="str">
        <f>tblRiskTreatmentPrograms[[#This Row],[Common Security Program]]&amp;tblRiskTreatmentPrograms[[#This Row],[Common Security Control]]&amp;tblRiskTreatmentPrograms[[#This Row],[Asset Designation]]</f>
        <v>HR SecurityOperation</v>
      </c>
      <c r="F47" s="33" t="s">
        <v>180</v>
      </c>
      <c r="G47" s="33" t="s">
        <v>700</v>
      </c>
      <c r="H47" s="33"/>
      <c r="I47" s="33">
        <f>COUNTIFS(tblRisk[Lookup],tblRiskTreatmentPrograms[[#This Row],[Lookup]])</f>
        <v>0</v>
      </c>
      <c r="J47" s="33" t="e">
        <f>AVERAGEIFS(tblRisk[Control Maturity],tblRisk[Lookup],tblRiskTreatmentPrograms[[#This Row],[Lookup]])</f>
        <v>#DIV/0!</v>
      </c>
      <c r="K47" s="33">
        <f>_xlfn.MAXIFS(tblRisk[Risk Score],tblRisk[Lookup],tblRiskTreatmentPrograms[[#This Row],[Lookup]])</f>
        <v>0</v>
      </c>
      <c r="L47" s="33" t="e">
        <f>AVERAGEIFS(tblRisk[Risk Score],tblRisk[Lookup],tblRiskTreatmentPrograms[[#This Row],[Lookup]])</f>
        <v>#DIV/0!</v>
      </c>
      <c r="M47" s="33">
        <f>SUMIFS(tblRisk[Risk Score],tblRisk[Lookup],tblRiskTreatmentPrograms[[#This Row],[Lookup]])</f>
        <v>0</v>
      </c>
      <c r="N47" s="33">
        <f>SUMIFS(tblRisk[Current Level of Risk],tblRisk[Lookup],tblRiskTreatmentPrograms[[#This Row],[Lookup]])</f>
        <v>0</v>
      </c>
      <c r="O47" s="33" t="e">
        <f>AVERAGEIFS(tblRisk[Control Maturity after SG],tblRisk[Lookup],tblRiskTreatmentPrograms[[#This Row],[Lookup]])</f>
        <v>#DIV/0!</v>
      </c>
      <c r="P47" s="33">
        <f>_xlfn.MAXIFS(tblRisk[Risk Score With Safeguard in Place],tblRisk[Lookup],tblRiskTreatmentPrograms[[#This Row],[Lookup]])</f>
        <v>0</v>
      </c>
      <c r="Q47" s="33" t="e">
        <f>AVERAGEIFS(tblRisk[Risk Score With Safeguard in Place],tblRisk[Lookup],tblRiskTreatmentPrograms[[#This Row],[Lookup]])</f>
        <v>#DIV/0!</v>
      </c>
      <c r="R47" s="33">
        <f>SUMIFS(tblRisk[Risk Score With Safeguard in Place],tblRisk[Lookup],tblRiskTreatmentPrograms[[#This Row],[Lookup]])</f>
        <v>0</v>
      </c>
      <c r="S47" s="33" t="e">
        <f>tblRiskTreatmentPrograms[[#This Row],[Tgt Avg Maturity]]-tblRiskTreatmentPrograms[[#This Row],[Avg Maturity]]</f>
        <v>#DIV/0!</v>
      </c>
      <c r="T47" s="33">
        <f>tblRiskTreatmentPrograms[[#This Row],[Max]]-tblRiskTreatmentPrograms[[#This Row],[Tgt Max]]</f>
        <v>0</v>
      </c>
      <c r="U47" s="33" t="e">
        <f>tblRiskTreatmentPrograms[[#This Row],[Avg]]-tblRiskTreatmentPrograms[[#This Row],[Tgt Avg]]</f>
        <v>#DIV/0!</v>
      </c>
      <c r="V47" s="33">
        <f>tblRiskTreatmentPrograms[[#This Row],[Sum]]-tblRiskTreatmentPrograms[[#This Row],[Tgt Sum]]</f>
        <v>0</v>
      </c>
      <c r="W47" s="33"/>
      <c r="X47" s="109" t="s">
        <v>1055</v>
      </c>
      <c r="Y47" s="109" t="s">
        <v>1055</v>
      </c>
    </row>
    <row r="48" spans="2:25" ht="114" x14ac:dyDescent="0.45">
      <c r="B48" s="33" t="s">
        <v>27</v>
      </c>
      <c r="C48" s="33" t="s">
        <v>86</v>
      </c>
      <c r="D48" s="33"/>
      <c r="E48" s="33" t="str">
        <f>tblRiskTreatmentPrograms[[#This Row],[Common Security Program]]&amp;tblRiskTreatmentPrograms[[#This Row],[Common Security Control]]&amp;tblRiskTreatmentPrograms[[#This Row],[Asset Designation]]</f>
        <v>Physical SecurityGovernance</v>
      </c>
      <c r="F48" s="33" t="s">
        <v>110</v>
      </c>
      <c r="G48" s="33" t="s">
        <v>701</v>
      </c>
      <c r="H48" s="33"/>
      <c r="I48" s="33">
        <f>COUNTIFS(tblRisk[Lookup],tblRiskTreatmentPrograms[[#This Row],[Lookup]])</f>
        <v>0</v>
      </c>
      <c r="J48" s="33" t="e">
        <f>AVERAGEIFS(tblRisk[Control Maturity],tblRisk[Lookup],tblRiskTreatmentPrograms[[#This Row],[Lookup]])</f>
        <v>#DIV/0!</v>
      </c>
      <c r="K48" s="33">
        <f>_xlfn.MAXIFS(tblRisk[Risk Score],tblRisk[Lookup],tblRiskTreatmentPrograms[[#This Row],[Lookup]])</f>
        <v>0</v>
      </c>
      <c r="L48" s="33" t="e">
        <f>AVERAGEIFS(tblRisk[Risk Score],tblRisk[Lookup],tblRiskTreatmentPrograms[[#This Row],[Lookup]])</f>
        <v>#DIV/0!</v>
      </c>
      <c r="M48" s="33">
        <f>SUMIFS(tblRisk[Risk Score],tblRisk[Lookup],tblRiskTreatmentPrograms[[#This Row],[Lookup]])</f>
        <v>0</v>
      </c>
      <c r="N48" s="33">
        <f>SUMIFS(tblRisk[Current Level of Risk],tblRisk[Lookup],tblRiskTreatmentPrograms[[#This Row],[Lookup]])</f>
        <v>0</v>
      </c>
      <c r="O48" s="33" t="e">
        <f>AVERAGEIFS(tblRisk[Control Maturity after SG],tblRisk[Lookup],tblRiskTreatmentPrograms[[#This Row],[Lookup]])</f>
        <v>#DIV/0!</v>
      </c>
      <c r="P48" s="33">
        <f>_xlfn.MAXIFS(tblRisk[Risk Score With Safeguard in Place],tblRisk[Lookup],tblRiskTreatmentPrograms[[#This Row],[Lookup]])</f>
        <v>0</v>
      </c>
      <c r="Q48" s="33" t="e">
        <f>AVERAGEIFS(tblRisk[Risk Score With Safeguard in Place],tblRisk[Lookup],tblRiskTreatmentPrograms[[#This Row],[Lookup]])</f>
        <v>#DIV/0!</v>
      </c>
      <c r="R48" s="33">
        <f>SUMIFS(tblRisk[Risk Score With Safeguard in Place],tblRisk[Lookup],tblRiskTreatmentPrograms[[#This Row],[Lookup]])</f>
        <v>0</v>
      </c>
      <c r="S48" s="33" t="e">
        <f>tblRiskTreatmentPrograms[[#This Row],[Tgt Avg Maturity]]-tblRiskTreatmentPrograms[[#This Row],[Avg Maturity]]</f>
        <v>#DIV/0!</v>
      </c>
      <c r="T48" s="33">
        <f>tblRiskTreatmentPrograms[[#This Row],[Max]]-tblRiskTreatmentPrograms[[#This Row],[Tgt Max]]</f>
        <v>0</v>
      </c>
      <c r="U48" s="33" t="e">
        <f>tblRiskTreatmentPrograms[[#This Row],[Avg]]-tblRiskTreatmentPrograms[[#This Row],[Tgt Avg]]</f>
        <v>#DIV/0!</v>
      </c>
      <c r="V48" s="33">
        <f>tblRiskTreatmentPrograms[[#This Row],[Sum]]-tblRiskTreatmentPrograms[[#This Row],[Tgt Sum]]</f>
        <v>0</v>
      </c>
      <c r="W48" s="33"/>
      <c r="X48" s="109" t="s">
        <v>1055</v>
      </c>
      <c r="Y48" s="109" t="s">
        <v>1055</v>
      </c>
    </row>
    <row r="49" spans="2:25" ht="114" x14ac:dyDescent="0.45">
      <c r="B49" s="33" t="s">
        <v>27</v>
      </c>
      <c r="C49" s="33" t="s">
        <v>88</v>
      </c>
      <c r="D49" s="33"/>
      <c r="E49" s="33" t="str">
        <f>tblRiskTreatmentPrograms[[#This Row],[Common Security Program]]&amp;tblRiskTreatmentPrograms[[#This Row],[Common Security Control]]&amp;tblRiskTreatmentPrograms[[#This Row],[Asset Designation]]</f>
        <v>Physical SecurityOperation</v>
      </c>
      <c r="F49" s="33" t="s">
        <v>111</v>
      </c>
      <c r="G49" s="33" t="s">
        <v>702</v>
      </c>
      <c r="H49" s="33"/>
      <c r="I49" s="33">
        <f>COUNTIFS(tblRisk[Lookup],tblRiskTreatmentPrograms[[#This Row],[Lookup]])</f>
        <v>0</v>
      </c>
      <c r="J49" s="33" t="e">
        <f>AVERAGEIFS(tblRisk[Control Maturity],tblRisk[Lookup],tblRiskTreatmentPrograms[[#This Row],[Lookup]])</f>
        <v>#DIV/0!</v>
      </c>
      <c r="K49" s="33">
        <f>_xlfn.MAXIFS(tblRisk[Risk Score],tblRisk[Lookup],tblRiskTreatmentPrograms[[#This Row],[Lookup]])</f>
        <v>0</v>
      </c>
      <c r="L49" s="33" t="e">
        <f>AVERAGEIFS(tblRisk[Risk Score],tblRisk[Lookup],tblRiskTreatmentPrograms[[#This Row],[Lookup]])</f>
        <v>#DIV/0!</v>
      </c>
      <c r="M49" s="33">
        <f>SUMIFS(tblRisk[Risk Score],tblRisk[Lookup],tblRiskTreatmentPrograms[[#This Row],[Lookup]])</f>
        <v>0</v>
      </c>
      <c r="N49" s="33">
        <f>SUMIFS(tblRisk[Current Level of Risk],tblRisk[Lookup],tblRiskTreatmentPrograms[[#This Row],[Lookup]])</f>
        <v>0</v>
      </c>
      <c r="O49" s="33" t="e">
        <f>AVERAGEIFS(tblRisk[Control Maturity after SG],tblRisk[Lookup],tblRiskTreatmentPrograms[[#This Row],[Lookup]])</f>
        <v>#DIV/0!</v>
      </c>
      <c r="P49" s="33">
        <f>_xlfn.MAXIFS(tblRisk[Risk Score With Safeguard in Place],tblRisk[Lookup],tblRiskTreatmentPrograms[[#This Row],[Lookup]])</f>
        <v>0</v>
      </c>
      <c r="Q49" s="33" t="e">
        <f>AVERAGEIFS(tblRisk[Risk Score With Safeguard in Place],tblRisk[Lookup],tblRiskTreatmentPrograms[[#This Row],[Lookup]])</f>
        <v>#DIV/0!</v>
      </c>
      <c r="R49" s="33">
        <f>SUMIFS(tblRisk[Risk Score With Safeguard in Place],tblRisk[Lookup],tblRiskTreatmentPrograms[[#This Row],[Lookup]])</f>
        <v>0</v>
      </c>
      <c r="S49" s="33" t="e">
        <f>tblRiskTreatmentPrograms[[#This Row],[Tgt Avg Maturity]]-tblRiskTreatmentPrograms[[#This Row],[Avg Maturity]]</f>
        <v>#DIV/0!</v>
      </c>
      <c r="T49" s="33">
        <f>tblRiskTreatmentPrograms[[#This Row],[Max]]-tblRiskTreatmentPrograms[[#This Row],[Tgt Max]]</f>
        <v>0</v>
      </c>
      <c r="U49" s="33" t="e">
        <f>tblRiskTreatmentPrograms[[#This Row],[Avg]]-tblRiskTreatmentPrograms[[#This Row],[Tgt Avg]]</f>
        <v>#DIV/0!</v>
      </c>
      <c r="V49" s="33">
        <f>tblRiskTreatmentPrograms[[#This Row],[Sum]]-tblRiskTreatmentPrograms[[#This Row],[Tgt Sum]]</f>
        <v>0</v>
      </c>
      <c r="W49" s="33"/>
      <c r="X49" s="109" t="s">
        <v>1055</v>
      </c>
      <c r="Y49" s="109" t="s">
        <v>1055</v>
      </c>
    </row>
    <row r="50" spans="2:25" ht="99.75" x14ac:dyDescent="0.45">
      <c r="B50" s="33" t="s">
        <v>28</v>
      </c>
      <c r="C50" s="33" t="s">
        <v>86</v>
      </c>
      <c r="D50" s="33"/>
      <c r="E50" s="33" t="str">
        <f>tblRiskTreatmentPrograms[[#This Row],[Common Security Program]]&amp;tblRiskTreatmentPrograms[[#This Row],[Common Security Control]]&amp;tblRiskTreatmentPrograms[[#This Row],[Asset Designation]]</f>
        <v>Media SecurityGovernance</v>
      </c>
      <c r="F50" s="33" t="s">
        <v>112</v>
      </c>
      <c r="G50" s="33" t="s">
        <v>703</v>
      </c>
      <c r="H50" s="33"/>
      <c r="I50" s="33">
        <f>COUNTIFS(tblRisk[Lookup],tblRiskTreatmentPrograms[[#This Row],[Lookup]])</f>
        <v>0</v>
      </c>
      <c r="J50" s="33" t="e">
        <f>AVERAGEIFS(tblRisk[Control Maturity],tblRisk[Lookup],tblRiskTreatmentPrograms[[#This Row],[Lookup]])</f>
        <v>#DIV/0!</v>
      </c>
      <c r="K50" s="33">
        <f>_xlfn.MAXIFS(tblRisk[Risk Score],tblRisk[Lookup],tblRiskTreatmentPrograms[[#This Row],[Lookup]])</f>
        <v>0</v>
      </c>
      <c r="L50" s="33" t="e">
        <f>AVERAGEIFS(tblRisk[Risk Score],tblRisk[Lookup],tblRiskTreatmentPrograms[[#This Row],[Lookup]])</f>
        <v>#DIV/0!</v>
      </c>
      <c r="M50" s="33">
        <f>SUMIFS(tblRisk[Risk Score],tblRisk[Lookup],tblRiskTreatmentPrograms[[#This Row],[Lookup]])</f>
        <v>0</v>
      </c>
      <c r="N50" s="33">
        <f>SUMIFS(tblRisk[Current Level of Risk],tblRisk[Lookup],tblRiskTreatmentPrograms[[#This Row],[Lookup]])</f>
        <v>0</v>
      </c>
      <c r="O50" s="33" t="e">
        <f>AVERAGEIFS(tblRisk[Control Maturity after SG],tblRisk[Lookup],tblRiskTreatmentPrograms[[#This Row],[Lookup]])</f>
        <v>#DIV/0!</v>
      </c>
      <c r="P50" s="33">
        <f>_xlfn.MAXIFS(tblRisk[Risk Score With Safeguard in Place],tblRisk[Lookup],tblRiskTreatmentPrograms[[#This Row],[Lookup]])</f>
        <v>0</v>
      </c>
      <c r="Q50" s="33" t="e">
        <f>AVERAGEIFS(tblRisk[Risk Score With Safeguard in Place],tblRisk[Lookup],tblRiskTreatmentPrograms[[#This Row],[Lookup]])</f>
        <v>#DIV/0!</v>
      </c>
      <c r="R50" s="33">
        <f>SUMIFS(tblRisk[Risk Score With Safeguard in Place],tblRisk[Lookup],tblRiskTreatmentPrograms[[#This Row],[Lookup]])</f>
        <v>0</v>
      </c>
      <c r="S50" s="33" t="e">
        <f>tblRiskTreatmentPrograms[[#This Row],[Tgt Avg Maturity]]-tblRiskTreatmentPrograms[[#This Row],[Avg Maturity]]</f>
        <v>#DIV/0!</v>
      </c>
      <c r="T50" s="33">
        <f>tblRiskTreatmentPrograms[[#This Row],[Max]]-tblRiskTreatmentPrograms[[#This Row],[Tgt Max]]</f>
        <v>0</v>
      </c>
      <c r="U50" s="33" t="e">
        <f>tblRiskTreatmentPrograms[[#This Row],[Avg]]-tblRiskTreatmentPrograms[[#This Row],[Tgt Avg]]</f>
        <v>#DIV/0!</v>
      </c>
      <c r="V50" s="33">
        <f>tblRiskTreatmentPrograms[[#This Row],[Sum]]-tblRiskTreatmentPrograms[[#This Row],[Tgt Sum]]</f>
        <v>0</v>
      </c>
      <c r="W50" s="33"/>
      <c r="X50" s="109" t="s">
        <v>1055</v>
      </c>
      <c r="Y50" s="109" t="s">
        <v>1055</v>
      </c>
    </row>
    <row r="51" spans="2:25" ht="85.5" x14ac:dyDescent="0.45">
      <c r="B51" s="33" t="s">
        <v>28</v>
      </c>
      <c r="C51" s="33" t="s">
        <v>88</v>
      </c>
      <c r="D51" s="33"/>
      <c r="E51" s="33" t="str">
        <f>tblRiskTreatmentPrograms[[#This Row],[Common Security Program]]&amp;tblRiskTreatmentPrograms[[#This Row],[Common Security Control]]&amp;tblRiskTreatmentPrograms[[#This Row],[Asset Designation]]</f>
        <v>Media SecurityOperation</v>
      </c>
      <c r="F51" s="33" t="s">
        <v>113</v>
      </c>
      <c r="G51" s="33" t="s">
        <v>704</v>
      </c>
      <c r="H51" s="33"/>
      <c r="I51" s="33">
        <f>COUNTIFS(tblRisk[Lookup],tblRiskTreatmentPrograms[[#This Row],[Lookup]])</f>
        <v>0</v>
      </c>
      <c r="J51" s="33" t="e">
        <f>AVERAGEIFS(tblRisk[Control Maturity],tblRisk[Lookup],tblRiskTreatmentPrograms[[#This Row],[Lookup]])</f>
        <v>#DIV/0!</v>
      </c>
      <c r="K51" s="33">
        <f>_xlfn.MAXIFS(tblRisk[Risk Score],tblRisk[Lookup],tblRiskTreatmentPrograms[[#This Row],[Lookup]])</f>
        <v>0</v>
      </c>
      <c r="L51" s="33" t="e">
        <f>AVERAGEIFS(tblRisk[Risk Score],tblRisk[Lookup],tblRiskTreatmentPrograms[[#This Row],[Lookup]])</f>
        <v>#DIV/0!</v>
      </c>
      <c r="M51" s="33">
        <f>SUMIFS(tblRisk[Risk Score],tblRisk[Lookup],tblRiskTreatmentPrograms[[#This Row],[Lookup]])</f>
        <v>0</v>
      </c>
      <c r="N51" s="33">
        <f>SUMIFS(tblRisk[Current Level of Risk],tblRisk[Lookup],tblRiskTreatmentPrograms[[#This Row],[Lookup]])</f>
        <v>0</v>
      </c>
      <c r="O51" s="33" t="e">
        <f>AVERAGEIFS(tblRisk[Control Maturity after SG],tblRisk[Lookup],tblRiskTreatmentPrograms[[#This Row],[Lookup]])</f>
        <v>#DIV/0!</v>
      </c>
      <c r="P51" s="33">
        <f>_xlfn.MAXIFS(tblRisk[Risk Score With Safeguard in Place],tblRisk[Lookup],tblRiskTreatmentPrograms[[#This Row],[Lookup]])</f>
        <v>0</v>
      </c>
      <c r="Q51" s="33" t="e">
        <f>AVERAGEIFS(tblRisk[Risk Score With Safeguard in Place],tblRisk[Lookup],tblRiskTreatmentPrograms[[#This Row],[Lookup]])</f>
        <v>#DIV/0!</v>
      </c>
      <c r="R51" s="33">
        <f>SUMIFS(tblRisk[Risk Score With Safeguard in Place],tblRisk[Lookup],tblRiskTreatmentPrograms[[#This Row],[Lookup]])</f>
        <v>0</v>
      </c>
      <c r="S51" s="33" t="e">
        <f>tblRiskTreatmentPrograms[[#This Row],[Tgt Avg Maturity]]-tblRiskTreatmentPrograms[[#This Row],[Avg Maturity]]</f>
        <v>#DIV/0!</v>
      </c>
      <c r="T51" s="33">
        <f>tblRiskTreatmentPrograms[[#This Row],[Max]]-tblRiskTreatmentPrograms[[#This Row],[Tgt Max]]</f>
        <v>0</v>
      </c>
      <c r="U51" s="33" t="e">
        <f>tblRiskTreatmentPrograms[[#This Row],[Avg]]-tblRiskTreatmentPrograms[[#This Row],[Tgt Avg]]</f>
        <v>#DIV/0!</v>
      </c>
      <c r="V51" s="33">
        <f>tblRiskTreatmentPrograms[[#This Row],[Sum]]-tblRiskTreatmentPrograms[[#This Row],[Tgt Sum]]</f>
        <v>0</v>
      </c>
      <c r="W51" s="33"/>
      <c r="X51" s="109" t="s">
        <v>1055</v>
      </c>
      <c r="Y51" s="109" t="s">
        <v>1055</v>
      </c>
    </row>
  </sheetData>
  <dataValidations count="3">
    <dataValidation type="list" allowBlank="1" showInputMessage="1" showErrorMessage="1" sqref="B3:B51" xr:uid="{73706486-18D6-4BDB-A022-07360055EE5D}">
      <formula1>lstCSP</formula1>
    </dataValidation>
    <dataValidation type="list" allowBlank="1" showInputMessage="1" showErrorMessage="1" sqref="W3:W51" xr:uid="{9C2AD6C8-ACC0-4681-85D9-DBE26B2FA3D2}">
      <formula1>"Not started, In progress, Needs attention, Closed"</formula1>
    </dataValidation>
    <dataValidation type="list" allowBlank="1" showInputMessage="1" showErrorMessage="1" sqref="X3:Y51" xr:uid="{BBECE876-0C3E-4A2B-B67F-9CA8CFBFC091}">
      <formula1>lstDates</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672A6-05AE-40DF-8EFF-58E8E52BB96B}">
  <sheetPr>
    <tabColor theme="4" tint="0.39997558519241921"/>
    <pageSetUpPr fitToPage="1"/>
  </sheetPr>
  <dimension ref="A1:Z59"/>
  <sheetViews>
    <sheetView topLeftCell="B35" zoomScale="96" zoomScaleNormal="85" workbookViewId="0">
      <selection activeCell="E47" sqref="E47"/>
    </sheetView>
  </sheetViews>
  <sheetFormatPr defaultColWidth="9" defaultRowHeight="14.25" x14ac:dyDescent="0.45"/>
  <cols>
    <col min="1" max="1" width="46.6640625" style="220" customWidth="1"/>
    <col min="2" max="2" width="32.86328125" style="234" customWidth="1"/>
    <col min="3" max="3" width="36.73046875" style="234" customWidth="1"/>
    <col min="4" max="4" width="10.73046875" style="234" customWidth="1"/>
    <col min="5" max="5" width="85.1328125" style="219" customWidth="1"/>
    <col min="6" max="6" width="12.86328125" style="234" customWidth="1"/>
    <col min="7" max="7" width="20.265625" style="97" customWidth="1"/>
    <col min="8" max="9" width="24" style="215" customWidth="1"/>
    <col min="10" max="10" width="24.86328125" style="215" customWidth="1"/>
    <col min="11" max="11" width="18.73046875" style="215" customWidth="1"/>
    <col min="12" max="25" width="15.265625" style="215" customWidth="1"/>
    <col min="26" max="26" width="66.59765625" style="215" customWidth="1"/>
    <col min="27" max="16384" width="9" style="215"/>
  </cols>
  <sheetData>
    <row r="1" spans="3:25" x14ac:dyDescent="0.45">
      <c r="G1" s="215"/>
    </row>
    <row r="2" spans="3:25" x14ac:dyDescent="0.45">
      <c r="C2" s="235" t="s">
        <v>1494</v>
      </c>
      <c r="D2" s="236">
        <f>SUM(D3:D9)</f>
        <v>16</v>
      </c>
      <c r="G2" s="215"/>
      <c r="I2" s="235" t="s">
        <v>1495</v>
      </c>
      <c r="J2" s="236">
        <f>SUM(ProTrak[[4/1/2024]:[6/1/2025]])</f>
        <v>0</v>
      </c>
      <c r="K2" s="306" t="s">
        <v>1507</v>
      </c>
      <c r="L2" s="306"/>
      <c r="M2" s="306"/>
      <c r="N2" s="306" t="s">
        <v>1508</v>
      </c>
      <c r="O2" s="306"/>
      <c r="P2" s="306"/>
      <c r="Q2" s="306" t="s">
        <v>1509</v>
      </c>
      <c r="R2" s="306"/>
      <c r="S2" s="306"/>
      <c r="T2" s="306" t="s">
        <v>1510</v>
      </c>
      <c r="U2" s="306"/>
      <c r="V2" s="306"/>
      <c r="W2" s="306" t="s">
        <v>1516</v>
      </c>
      <c r="X2" s="306"/>
      <c r="Y2" s="306"/>
    </row>
    <row r="3" spans="3:25" x14ac:dyDescent="0.45">
      <c r="C3" s="237" t="s">
        <v>1357</v>
      </c>
      <c r="D3" s="216">
        <f>COUNTIF(ProTrak[Status],C3)</f>
        <v>6</v>
      </c>
      <c r="G3" s="215"/>
      <c r="I3" s="235" t="s">
        <v>860</v>
      </c>
      <c r="J3" s="236" t="e">
        <f>#REF!</f>
        <v>#REF!</v>
      </c>
      <c r="K3" s="276">
        <f>Lookup!N4</f>
        <v>45383</v>
      </c>
      <c r="L3" s="276">
        <f>Lookup!N5</f>
        <v>45413</v>
      </c>
      <c r="M3" s="276">
        <f>Lookup!N6</f>
        <v>45444</v>
      </c>
      <c r="N3" s="276">
        <f>Lookup!N7</f>
        <v>45474</v>
      </c>
      <c r="O3" s="276">
        <f>Lookup!N8</f>
        <v>45505</v>
      </c>
      <c r="P3" s="276">
        <f>Lookup!N9</f>
        <v>45536</v>
      </c>
      <c r="Q3" s="276">
        <f>Lookup!N10</f>
        <v>45566</v>
      </c>
      <c r="R3" s="276">
        <f>Lookup!N11</f>
        <v>45597</v>
      </c>
      <c r="S3" s="276">
        <f>Lookup!N12</f>
        <v>45627</v>
      </c>
      <c r="T3" s="276">
        <f>Lookup!N13</f>
        <v>45658</v>
      </c>
      <c r="U3" s="276">
        <f>Lookup!N14</f>
        <v>45689</v>
      </c>
      <c r="V3" s="276">
        <f>Lookup!N15</f>
        <v>45717</v>
      </c>
      <c r="W3" s="276">
        <f>Lookup!N16</f>
        <v>45748</v>
      </c>
      <c r="X3" s="276">
        <f>Lookup!N17</f>
        <v>45778</v>
      </c>
      <c r="Y3" s="276">
        <f>Lookup!N18</f>
        <v>45809</v>
      </c>
    </row>
    <row r="4" spans="3:25" ht="23.65" customHeight="1" x14ac:dyDescent="0.45">
      <c r="C4" s="237" t="s">
        <v>1358</v>
      </c>
      <c r="D4" s="216">
        <f>COUNTIF(ProTrak[Status],C4)</f>
        <v>4</v>
      </c>
      <c r="G4" s="215"/>
      <c r="I4" s="235" t="s">
        <v>859</v>
      </c>
      <c r="J4" s="238">
        <f>SUM(K4:Y4)</f>
        <v>0</v>
      </c>
      <c r="K4" s="216" cm="1">
        <f t="array" ref="K4">SUMIFS(ProTrak[[#All],[4/1/2024]],Responsibility,"HALOCK")</f>
        <v>0</v>
      </c>
      <c r="L4" s="216" cm="1">
        <f t="array" ref="L4">SUMIFS(Month2,Responsibility,"HALOCK")</f>
        <v>0</v>
      </c>
      <c r="M4" s="216" cm="1">
        <f t="array" ref="M4">SUMIFS(Month3,Responsibility,"HALOCK")</f>
        <v>0</v>
      </c>
      <c r="N4" s="216" cm="1">
        <f t="array" ref="N4">SUMIFS(Month4,Responsibility,"HALOCK")</f>
        <v>0</v>
      </c>
      <c r="O4" s="216" cm="1">
        <f t="array" ref="O4">SUMIFS(Month5,Responsibility,"HALOCK")</f>
        <v>0</v>
      </c>
      <c r="P4" s="216" cm="1">
        <f t="array" ref="P4">SUMIFS(Month6,Responsibility,"HALOCK")</f>
        <v>0</v>
      </c>
      <c r="Q4" s="216" cm="1">
        <f t="array" ref="Q4">SUMIFS(Month7,Responsibility,"HALOCK")</f>
        <v>0</v>
      </c>
      <c r="R4" s="216" cm="1">
        <f t="array" ref="R4">SUMIFS(Month8,Responsibility,"HALOCK")</f>
        <v>0</v>
      </c>
      <c r="S4" s="216" cm="1">
        <f t="array" ref="S4">SUMIFS(Month9,Responsibility,"HALOCK")</f>
        <v>0</v>
      </c>
      <c r="T4" s="216" cm="1">
        <f t="array" ref="T4">SUMIFS(Month10,Responsibility,"HALOCK")</f>
        <v>0</v>
      </c>
      <c r="U4" s="216" cm="1">
        <f t="array" ref="U4">SUMIFS(Month11,Responsibility,"HALOCK")</f>
        <v>0</v>
      </c>
      <c r="V4" s="216" cm="1">
        <f t="array" ref="V4">SUMIFS(Month12,Responsibility,"HALOCK")</f>
        <v>0</v>
      </c>
      <c r="W4" s="216" cm="1">
        <f t="array" ref="W4">SUMIFS(Month13,Responsibility,"HALOCK")</f>
        <v>0</v>
      </c>
      <c r="X4" s="216" cm="1">
        <f t="array" ref="X4">SUMIFS(Month14,Responsibility,"HALOCK")</f>
        <v>0</v>
      </c>
      <c r="Y4" s="216" cm="1">
        <f t="array" ref="Y4">SUMIFS(Month15,Responsibility,"HALOCK")</f>
        <v>0</v>
      </c>
    </row>
    <row r="5" spans="3:25" ht="23.65" customHeight="1" x14ac:dyDescent="0.45">
      <c r="C5" s="237" t="s">
        <v>1359</v>
      </c>
      <c r="D5" s="216">
        <f>COUNTIF(ProTrak[Status],C5)</f>
        <v>0</v>
      </c>
      <c r="G5" s="215"/>
      <c r="I5" s="235" t="s">
        <v>1501</v>
      </c>
      <c r="J5" s="238">
        <f>SUM(K5:Y5)</f>
        <v>0</v>
      </c>
      <c r="K5" s="216" cm="1">
        <f t="array" ref="K5">SUMIFS(Month1,Feasibility,"Low Hanging Fruit",Responsibility,"HALOCK")</f>
        <v>0</v>
      </c>
      <c r="L5" s="216" cm="1">
        <f t="array" ref="L5">SUMIFS(Month2,Feasibility,"Low Hanging Fruit",Responsibility,"HALOCK")</f>
        <v>0</v>
      </c>
      <c r="M5" s="216" cm="1">
        <f t="array" ref="M5">SUMIFS(Month3,Feasibility,"Low Hanging Fruit",Responsibility,"HALOCK")</f>
        <v>0</v>
      </c>
      <c r="N5" s="216" cm="1">
        <f t="array" ref="N5">SUMIFS(Month4,Feasibility,"Low Hanging Fruit",Responsibility,"HALOCK")</f>
        <v>0</v>
      </c>
      <c r="O5" s="216" cm="1">
        <f t="array" ref="O5">SUMIFS(Month5,Feasibility,"Low Hanging Fruit",Responsibility,"HALOCK")</f>
        <v>0</v>
      </c>
      <c r="P5" s="216" cm="1">
        <f t="array" ref="P5">SUMIFS(Month6,Feasibility,"Low Hanging Fruit",Responsibility,"HALOCK")</f>
        <v>0</v>
      </c>
      <c r="Q5" s="216" cm="1">
        <f t="array" ref="Q5">SUMIFS(Month7,Feasibility,"Low Hanging Fruit",Responsibility,"HALOCK")</f>
        <v>0</v>
      </c>
      <c r="R5" s="216" cm="1">
        <f t="array" ref="R5">SUMIFS(Month8,Feasibility,"Low Hanging Fruit",Responsibility,"HALOCK")</f>
        <v>0</v>
      </c>
      <c r="S5" s="216" cm="1">
        <f t="array" ref="S5">SUMIFS(Month9,Feasibility,"Low Hanging Fruit",Responsibility,"HALOCK")</f>
        <v>0</v>
      </c>
      <c r="T5" s="216" cm="1">
        <f t="array" ref="T5">SUMIFS(Month10,Feasibility,"Low Hanging Fruit",Responsibility,"HALOCK")</f>
        <v>0</v>
      </c>
      <c r="U5" s="216" cm="1">
        <f t="array" ref="U5">SUMIFS(Month11,Feasibility,"Low Hanging Fruit",Responsibility,"HALOCK")</f>
        <v>0</v>
      </c>
      <c r="V5" s="216" cm="1">
        <f t="array" ref="V5">SUMIFS(Month12,Feasibility,"Low Hanging Fruit",Responsibility,"HALOCK")</f>
        <v>0</v>
      </c>
      <c r="W5" s="216" cm="1">
        <f t="array" ref="W5">SUMIFS(Month13,Feasibility,"Low Hanging Fruit",Responsibility,"HALOCK")</f>
        <v>0</v>
      </c>
      <c r="X5" s="216" cm="1">
        <f t="array" ref="X5">SUMIFS(Month14,Feasibility,"Low Hanging Fruit",Responsibility,"HALOCK")</f>
        <v>0</v>
      </c>
      <c r="Y5" s="216" cm="1">
        <f t="array" ref="Y5">SUMIFS(Month15,Feasibility,"Low Hanging Fruit",Responsibility,"HALOCK")</f>
        <v>0</v>
      </c>
    </row>
    <row r="6" spans="3:25" ht="23.65" customHeight="1" x14ac:dyDescent="0.45">
      <c r="C6" s="237" t="s">
        <v>1360</v>
      </c>
      <c r="D6" s="216">
        <f>COUNTIF(ProTrak[Status],C6)</f>
        <v>0</v>
      </c>
      <c r="G6" s="215"/>
      <c r="I6" s="235" t="s">
        <v>858</v>
      </c>
      <c r="J6" s="238" t="e">
        <f>J3-J4</f>
        <v>#REF!</v>
      </c>
      <c r="K6" s="307"/>
      <c r="L6" s="308"/>
      <c r="M6" s="308"/>
      <c r="N6" s="308"/>
      <c r="O6" s="308"/>
      <c r="P6" s="308"/>
      <c r="Q6" s="308"/>
      <c r="R6" s="308"/>
      <c r="S6" s="308"/>
      <c r="T6" s="308"/>
      <c r="U6" s="308"/>
      <c r="V6" s="308"/>
      <c r="W6" s="308"/>
      <c r="X6" s="308"/>
      <c r="Y6" s="309"/>
    </row>
    <row r="7" spans="3:25" ht="23.65" customHeight="1" x14ac:dyDescent="0.45">
      <c r="C7" s="237" t="s">
        <v>1361</v>
      </c>
      <c r="D7" s="216">
        <f>COUNTIF(ProTrak[Status],C7)</f>
        <v>0</v>
      </c>
      <c r="G7" s="215"/>
      <c r="I7" s="235" t="str">
        <f>Lookup!$F$29</f>
        <v>Services - Personnel</v>
      </c>
      <c r="J7" s="238">
        <f t="shared" ref="J7:J12" si="0">SUM(K7:Y7)</f>
        <v>0</v>
      </c>
      <c r="K7" s="216" cm="1">
        <f t="array" ref="K7">SUMIFS(Month1,Responsibility,$I7)</f>
        <v>0</v>
      </c>
      <c r="L7" s="216" cm="1">
        <f t="array" ref="L7">SUMIFS(Month2,Responsibility,$I7)</f>
        <v>0</v>
      </c>
      <c r="M7" s="216" cm="1">
        <f t="array" ref="M7">SUMIFS(Month3,Responsibility,$I7)</f>
        <v>0</v>
      </c>
      <c r="N7" s="216" cm="1">
        <f t="array" ref="N7">SUMIFS(Month4,Responsibility,$I7)</f>
        <v>0</v>
      </c>
      <c r="O7" s="216" cm="1">
        <f t="array" ref="O7">SUMIFS(Month5,Responsibility,$I7)</f>
        <v>0</v>
      </c>
      <c r="P7" s="216" cm="1">
        <f t="array" ref="P7">SUMIFS(Month6,Responsibility,$I7)</f>
        <v>0</v>
      </c>
      <c r="Q7" s="216" cm="1">
        <f t="array" ref="Q7">SUMIFS(Month7,Responsibility,$I7)</f>
        <v>0</v>
      </c>
      <c r="R7" s="216" cm="1">
        <f t="array" ref="R7">SUMIFS(Month8,Responsibility,$I7)</f>
        <v>0</v>
      </c>
      <c r="S7" s="216" cm="1">
        <f t="array" ref="S7">SUMIFS(Month9,Responsibility,$I7)</f>
        <v>0</v>
      </c>
      <c r="T7" s="216" cm="1">
        <f t="array" ref="T7">SUMIFS(Month10,Responsibility,$I7)</f>
        <v>0</v>
      </c>
      <c r="U7" s="216" cm="1">
        <f t="array" ref="U7">SUMIFS(Month11,Responsibility,$I7)</f>
        <v>0</v>
      </c>
      <c r="V7" s="216" cm="1">
        <f t="array" ref="V7">SUMIFS(Month12,Responsibility,$I7)</f>
        <v>0</v>
      </c>
      <c r="W7" s="216" cm="1">
        <f t="array" ref="W7">SUMIFS(Month13,Responsibility,$I7)</f>
        <v>0</v>
      </c>
      <c r="X7" s="216" cm="1">
        <f t="array" ref="X7">SUMIFS(Month14,Responsibility,$I7)</f>
        <v>0</v>
      </c>
      <c r="Y7" s="216" cm="1">
        <f t="array" ref="Y7">SUMIFS(Month15,Responsibility,$I7)</f>
        <v>0</v>
      </c>
    </row>
    <row r="8" spans="3:25" ht="23.65" customHeight="1" x14ac:dyDescent="0.45">
      <c r="C8" s="237" t="s">
        <v>1362</v>
      </c>
      <c r="D8" s="216">
        <f>COUNTIF(ProTrak[Status],C8)</f>
        <v>6</v>
      </c>
      <c r="G8" s="215"/>
      <c r="I8" s="235" t="s">
        <v>1502</v>
      </c>
      <c r="J8" s="238">
        <f t="shared" si="0"/>
        <v>0</v>
      </c>
      <c r="K8" s="216">
        <f>SUMIFS(ProTrak[4/1/2024],ProTrak[Feasibility],"Low Hanging Fruit",ProTrak[Responsibility],Lookup!$F$29)</f>
        <v>0</v>
      </c>
      <c r="L8" s="216">
        <f>SUMIFS(ProTrak[5/1/2024],ProTrak[Feasibility],"Low Hanging Fruit",ProTrak[Responsibility],Lookup!$F$29)</f>
        <v>0</v>
      </c>
      <c r="M8" s="216">
        <f>SUMIFS(ProTrak[6/1/2024],ProTrak[Feasibility],"Low Hanging Fruit",ProTrak[Responsibility],Lookup!$F$29)</f>
        <v>0</v>
      </c>
      <c r="N8" s="216">
        <f>SUMIFS(ProTrak[7/1/2024],ProTrak[Feasibility],"Low Hanging Fruit",ProTrak[Responsibility],Lookup!$F$29)</f>
        <v>0</v>
      </c>
      <c r="O8" s="216">
        <f>SUMIFS(ProTrak[8/1/2024],ProTrak[Feasibility],"Low Hanging Fruit",ProTrak[Responsibility],Lookup!$F$29)</f>
        <v>0</v>
      </c>
      <c r="P8" s="216">
        <f>SUMIFS(ProTrak[9/1/2024],ProTrak[Feasibility],"Low Hanging Fruit",ProTrak[Responsibility],Lookup!$F$29)</f>
        <v>0</v>
      </c>
      <c r="Q8" s="216">
        <f>SUMIFS(ProTrak[10/1/2024],ProTrak[Feasibility],"Low Hanging Fruit",ProTrak[Responsibility],Lookup!$F$29)</f>
        <v>0</v>
      </c>
      <c r="R8" s="216">
        <f>SUMIFS(ProTrak[11/1/2024],ProTrak[Feasibility],"Low Hanging Fruit",ProTrak[Responsibility],Lookup!$F$29)</f>
        <v>0</v>
      </c>
      <c r="S8" s="216">
        <f>SUMIFS(ProTrak[12/1/2024],ProTrak[Feasibility],"Low Hanging Fruit",ProTrak[Responsibility],Lookup!$F$29)</f>
        <v>0</v>
      </c>
      <c r="T8" s="216">
        <f>SUMIFS(ProTrak[1/1/2025],ProTrak[Feasibility],"Low Hanging Fruit",ProTrak[Responsibility],Lookup!$F$29)</f>
        <v>0</v>
      </c>
      <c r="U8" s="216">
        <f>SUMIFS(ProTrak[2/1/2025],ProTrak[Feasibility],"Low Hanging Fruit",ProTrak[Responsibility],Lookup!$F$29)</f>
        <v>0</v>
      </c>
      <c r="V8" s="216">
        <f>SUMIFS(ProTrak[3/1/2025],ProTrak[Feasibility],"Low Hanging Fruit",ProTrak[Responsibility],Lookup!$F$29)</f>
        <v>0</v>
      </c>
      <c r="W8" s="216">
        <f>SUMIFS(ProTrak[4/1/2025],ProTrak[Feasibility],"Low Hanging Fruit",ProTrak[Responsibility],Lookup!$F$29)</f>
        <v>0</v>
      </c>
      <c r="X8" s="216">
        <f>SUMIFS(ProTrak[5/1/2025],ProTrak[Feasibility],"Low Hanging Fruit",ProTrak[Responsibility],Lookup!$F$29)</f>
        <v>0</v>
      </c>
      <c r="Y8" s="216">
        <f>SUMIFS(ProTrak[6/1/2025],ProTrak[Feasibility],"Low Hanging Fruit",ProTrak[Responsibility],Lookup!$F$29)</f>
        <v>0</v>
      </c>
    </row>
    <row r="9" spans="3:25" ht="23.65" customHeight="1" x14ac:dyDescent="0.45">
      <c r="C9" s="237" t="s">
        <v>1363</v>
      </c>
      <c r="D9" s="216">
        <f>COUNTIF(ProTrak[Status],C9)</f>
        <v>0</v>
      </c>
      <c r="G9" s="215"/>
      <c r="I9" s="235" t="str">
        <f>Lookup!F30</f>
        <v>Security Solution Implementation</v>
      </c>
      <c r="J9" s="238">
        <f t="shared" si="0"/>
        <v>0</v>
      </c>
      <c r="K9" s="216" cm="1">
        <f t="array" ref="K9">SUMIFS(Month1,Responsibility,$I9)</f>
        <v>0</v>
      </c>
      <c r="L9" s="216" cm="1">
        <f t="array" ref="L9">SUMIFS(Month2,Responsibility,$I9)</f>
        <v>0</v>
      </c>
      <c r="M9" s="216" cm="1">
        <f t="array" ref="M9">SUMIFS(Month3,Responsibility,$I9)</f>
        <v>0</v>
      </c>
      <c r="N9" s="216" cm="1">
        <f t="array" ref="N9">SUMIFS(Month4,Responsibility,$I9)</f>
        <v>0</v>
      </c>
      <c r="O9" s="216" cm="1">
        <f t="array" ref="O9">SUMIFS(Month5,Responsibility,$I9)</f>
        <v>0</v>
      </c>
      <c r="P9" s="216" cm="1">
        <f t="array" ref="P9">SUMIFS(Month6,Responsibility,$I9)</f>
        <v>0</v>
      </c>
      <c r="Q9" s="216" cm="1">
        <f t="array" ref="Q9">SUMIFS(Month7,Responsibility,$I9)</f>
        <v>0</v>
      </c>
      <c r="R9" s="216" cm="1">
        <f t="array" ref="R9">SUMIFS(Month8,Responsibility,$I9)</f>
        <v>0</v>
      </c>
      <c r="S9" s="216" cm="1">
        <f t="array" ref="S9">SUMIFS(Month9,Responsibility,$I9)</f>
        <v>0</v>
      </c>
      <c r="T9" s="216" cm="1">
        <f t="array" ref="T9">SUMIFS(Month10,Responsibility,$I9)</f>
        <v>0</v>
      </c>
      <c r="U9" s="216" cm="1">
        <f t="array" ref="U9">SUMIFS(Month11,Responsibility,$I9)</f>
        <v>0</v>
      </c>
      <c r="V9" s="216" cm="1">
        <f t="array" ref="V9">SUMIFS(Month12,Responsibility,$I9)</f>
        <v>0</v>
      </c>
      <c r="W9" s="216" cm="1">
        <f t="array" ref="W9">SUMIFS(Month13,Responsibility,$I9)</f>
        <v>0</v>
      </c>
      <c r="X9" s="216" cm="1">
        <f t="array" ref="X9">SUMIFS(Month14,Responsibility,$I9)</f>
        <v>0</v>
      </c>
      <c r="Y9" s="216" cm="1">
        <f t="array" ref="Y9">SUMIFS(Month15,Responsibility,$I9)</f>
        <v>0</v>
      </c>
    </row>
    <row r="10" spans="3:25" ht="23.65" hidden="1" customHeight="1" x14ac:dyDescent="0.45">
      <c r="G10" s="215"/>
      <c r="I10" s="235" t="str">
        <f>Lookup!F31</f>
        <v>Security Controls and Configurations</v>
      </c>
      <c r="J10" s="238">
        <f t="shared" si="0"/>
        <v>0</v>
      </c>
      <c r="K10" s="216" cm="1">
        <f t="array" ref="K10">SUMIFS(Month1,Responsibility,$I10)</f>
        <v>0</v>
      </c>
      <c r="L10" s="216" cm="1">
        <f t="array" ref="L10">SUMIFS(Month2,Responsibility,$I10)</f>
        <v>0</v>
      </c>
      <c r="M10" s="216" cm="1">
        <f t="array" ref="M10">SUMIFS(Month3,Responsibility,$I10)</f>
        <v>0</v>
      </c>
      <c r="N10" s="216" cm="1">
        <f t="array" ref="N10">SUMIFS(Month4,Responsibility,$I10)</f>
        <v>0</v>
      </c>
      <c r="O10" s="216" cm="1">
        <f t="array" ref="O10">SUMIFS(Month5,Responsibility,$I10)</f>
        <v>0</v>
      </c>
      <c r="P10" s="216" cm="1">
        <f t="array" ref="P10">SUMIFS(Month6,Responsibility,$I10)</f>
        <v>0</v>
      </c>
      <c r="Q10" s="216" cm="1">
        <f t="array" ref="Q10">SUMIFS(Month7,Responsibility,$I10)</f>
        <v>0</v>
      </c>
      <c r="R10" s="216" cm="1">
        <f t="array" ref="R10">SUMIFS(Month8,Responsibility,$I10)</f>
        <v>0</v>
      </c>
      <c r="S10" s="216" cm="1">
        <f t="array" ref="S10">SUMIFS(Month9,Responsibility,$I10)</f>
        <v>0</v>
      </c>
      <c r="T10" s="216" cm="1">
        <f t="array" ref="T10">SUMIFS(Month10,Responsibility,$I10)</f>
        <v>0</v>
      </c>
      <c r="U10" s="216" cm="1">
        <f t="array" ref="U10">SUMIFS(Month11,Responsibility,$I10)</f>
        <v>0</v>
      </c>
      <c r="V10" s="216" cm="1">
        <f t="array" ref="V10">SUMIFS(Month12,Responsibility,$I10)</f>
        <v>0</v>
      </c>
      <c r="W10" s="216" cm="1">
        <f t="array" ref="W10">SUMIFS(Month13,Responsibility,$I10)</f>
        <v>0</v>
      </c>
      <c r="X10" s="216" cm="1">
        <f t="array" ref="X10">SUMIFS(Month14,Responsibility,$I10)</f>
        <v>0</v>
      </c>
      <c r="Y10" s="216" cm="1">
        <f t="array" ref="Y10">SUMIFS(Month15,Responsibility,$I10)</f>
        <v>0</v>
      </c>
    </row>
    <row r="11" spans="3:25" ht="23.65" hidden="1" customHeight="1" x14ac:dyDescent="0.45">
      <c r="G11" s="215"/>
      <c r="I11" s="235" t="str">
        <f>Lookup!F32</f>
        <v>Hardware Assets</v>
      </c>
      <c r="J11" s="238">
        <f t="shared" si="0"/>
        <v>0</v>
      </c>
      <c r="K11" s="216" cm="1">
        <f t="array" ref="K11">SUMIFS(Month1,Responsibility,$I11)</f>
        <v>0</v>
      </c>
      <c r="L11" s="216" cm="1">
        <f t="array" ref="L11">SUMIFS(Month2,Responsibility,$I11)</f>
        <v>0</v>
      </c>
      <c r="M11" s="216" cm="1">
        <f t="array" ref="M11">SUMIFS(Month3,Responsibility,$I11)</f>
        <v>0</v>
      </c>
      <c r="N11" s="216" cm="1">
        <f t="array" ref="N11">SUMIFS(Month4,Responsibility,$I11)</f>
        <v>0</v>
      </c>
      <c r="O11" s="216" cm="1">
        <f t="array" ref="O11">SUMIFS(Month5,Responsibility,$I11)</f>
        <v>0</v>
      </c>
      <c r="P11" s="216" cm="1">
        <f t="array" ref="P11">SUMIFS(Month6,Responsibility,$I11)</f>
        <v>0</v>
      </c>
      <c r="Q11" s="216" cm="1">
        <f t="array" ref="Q11">SUMIFS(Month7,Responsibility,$I11)</f>
        <v>0</v>
      </c>
      <c r="R11" s="216" cm="1">
        <f t="array" ref="R11">SUMIFS(Month8,Responsibility,$I11)</f>
        <v>0</v>
      </c>
      <c r="S11" s="216" cm="1">
        <f t="array" ref="S11">SUMIFS(Month9,Responsibility,$I11)</f>
        <v>0</v>
      </c>
      <c r="T11" s="216" cm="1">
        <f t="array" ref="T11">SUMIFS(Month10,Responsibility,$I11)</f>
        <v>0</v>
      </c>
      <c r="U11" s="216" cm="1">
        <f t="array" ref="U11">SUMIFS(Month11,Responsibility,$I11)</f>
        <v>0</v>
      </c>
      <c r="V11" s="216" cm="1">
        <f t="array" ref="V11">SUMIFS(Month12,Responsibility,$I11)</f>
        <v>0</v>
      </c>
      <c r="W11" s="216" cm="1">
        <f t="array" ref="W11">SUMIFS(Month13,Responsibility,$I11)</f>
        <v>0</v>
      </c>
      <c r="X11" s="216" cm="1">
        <f t="array" ref="X11">SUMIFS(Month14,Responsibility,$I11)</f>
        <v>0</v>
      </c>
      <c r="Y11" s="216" cm="1">
        <f t="array" ref="Y11">SUMIFS(Month15,Responsibility,$I11)</f>
        <v>0</v>
      </c>
    </row>
    <row r="12" spans="3:25" ht="23.65" hidden="1" customHeight="1" x14ac:dyDescent="0.45">
      <c r="G12" s="215"/>
      <c r="I12" s="235" t="str">
        <f>Lookup!F33</f>
        <v>Software Assets</v>
      </c>
      <c r="J12" s="238">
        <f t="shared" si="0"/>
        <v>0</v>
      </c>
      <c r="K12" s="216" cm="1">
        <f t="array" ref="K12">SUMIFS(Month1,Responsibility,$I12)</f>
        <v>0</v>
      </c>
      <c r="L12" s="216" cm="1">
        <f t="array" ref="L12">SUMIFS(Month2,Responsibility,$I12)</f>
        <v>0</v>
      </c>
      <c r="M12" s="216" cm="1">
        <f t="array" ref="M12">SUMIFS(Month3,Responsibility,$I12)</f>
        <v>0</v>
      </c>
      <c r="N12" s="216" cm="1">
        <f t="array" ref="N12">SUMIFS(Month4,Responsibility,$I12)</f>
        <v>0</v>
      </c>
      <c r="O12" s="216" cm="1">
        <f t="array" ref="O12">SUMIFS(Month5,Responsibility,$I12)</f>
        <v>0</v>
      </c>
      <c r="P12" s="216" cm="1">
        <f t="array" ref="P12">SUMIFS(Month6,Responsibility,$I12)</f>
        <v>0</v>
      </c>
      <c r="Q12" s="216" cm="1">
        <f t="array" ref="Q12">SUMIFS(Month7,Responsibility,$I12)</f>
        <v>0</v>
      </c>
      <c r="R12" s="216" cm="1">
        <f t="array" ref="R12">SUMIFS(Month8,Responsibility,$I12)</f>
        <v>0</v>
      </c>
      <c r="S12" s="216" cm="1">
        <f t="array" ref="S12">SUMIFS(Month9,Responsibility,$I12)</f>
        <v>0</v>
      </c>
      <c r="T12" s="216" cm="1">
        <f t="array" ref="T12">SUMIFS(Month10,Responsibility,$I12)</f>
        <v>0</v>
      </c>
      <c r="U12" s="216" cm="1">
        <f t="array" ref="U12">SUMIFS(Month11,Responsibility,$I12)</f>
        <v>0</v>
      </c>
      <c r="V12" s="216" cm="1">
        <f t="array" ref="V12">SUMIFS(Month12,Responsibility,$I12)</f>
        <v>0</v>
      </c>
      <c r="W12" s="216" cm="1">
        <f t="array" ref="W12">SUMIFS(Month13,Responsibility,$I12)</f>
        <v>0</v>
      </c>
      <c r="X12" s="216" cm="1">
        <f t="array" ref="X12">SUMIFS(Month14,Responsibility,$I12)</f>
        <v>0</v>
      </c>
      <c r="Y12" s="216" cm="1">
        <f t="array" ref="Y12">SUMIFS(Month15,Responsibility,$I12)</f>
        <v>0</v>
      </c>
    </row>
    <row r="13" spans="3:25" ht="23.65" customHeight="1" x14ac:dyDescent="0.45">
      <c r="G13" s="215"/>
      <c r="L13" s="239"/>
      <c r="M13" s="239"/>
      <c r="N13" s="239"/>
      <c r="O13" s="239"/>
      <c r="P13" s="239"/>
      <c r="Q13" s="239"/>
      <c r="R13" s="239"/>
      <c r="S13" s="239"/>
      <c r="T13" s="239"/>
      <c r="U13" s="239"/>
      <c r="V13" s="239"/>
      <c r="W13" s="239"/>
      <c r="X13" s="239"/>
      <c r="Y13" s="239"/>
    </row>
    <row r="14" spans="3:25" ht="23.65" hidden="1" customHeight="1" x14ac:dyDescent="0.45">
      <c r="G14" s="215"/>
      <c r="I14" s="236" t="s">
        <v>1503</v>
      </c>
      <c r="J14" s="236">
        <f>SUM(J15:J27)</f>
        <v>0</v>
      </c>
      <c r="K14" s="240"/>
      <c r="L14" s="241"/>
      <c r="M14" s="241"/>
      <c r="N14" s="241"/>
      <c r="O14" s="241"/>
      <c r="P14" s="241"/>
      <c r="Q14" s="241"/>
      <c r="R14" s="241"/>
      <c r="S14" s="241"/>
      <c r="T14" s="241"/>
      <c r="U14" s="241"/>
      <c r="V14" s="241"/>
      <c r="W14" s="241"/>
      <c r="X14" s="241"/>
      <c r="Y14" s="242"/>
    </row>
    <row r="15" spans="3:25" ht="23.65" hidden="1" customHeight="1" x14ac:dyDescent="0.45">
      <c r="G15" s="215"/>
      <c r="I15" s="235" t="str">
        <f>Lookup!D17</f>
        <v>None - N/A</v>
      </c>
      <c r="J15" s="238">
        <f t="shared" ref="J15:J27" si="1">SUM(K15:Y15)</f>
        <v>0</v>
      </c>
      <c r="K15" s="216">
        <f>SUMIF(ProTrak[CIS Control],$I15,ProTrak[4/1/2024])</f>
        <v>0</v>
      </c>
      <c r="L15" s="216">
        <f>SUMIF(ProTrak[CIS Control],$I15,ProTrak[5/1/2024])</f>
        <v>0</v>
      </c>
      <c r="M15" s="216">
        <f>SUMIF(ProTrak[CIS Control],$I15,ProTrak[6/1/2024])</f>
        <v>0</v>
      </c>
      <c r="N15" s="216">
        <f>SUMIF(ProTrak[CIS Control],$I15,ProTrak[7/1/2024])</f>
        <v>0</v>
      </c>
      <c r="O15" s="216">
        <f>SUMIF(ProTrak[CIS Control],$I15,ProTrak[8/1/2024])</f>
        <v>0</v>
      </c>
      <c r="P15" s="216">
        <f>SUMIF(ProTrak[CIS Control],$I15,ProTrak[9/1/2024])</f>
        <v>0</v>
      </c>
      <c r="Q15" s="216">
        <f>SUMIF(ProTrak[CIS Control],$I15,ProTrak[10/1/2024])</f>
        <v>0</v>
      </c>
      <c r="R15" s="216">
        <f>SUMIF(ProTrak[CIS Control],$I15,ProTrak[11/1/2024])</f>
        <v>0</v>
      </c>
      <c r="S15" s="216">
        <f>SUMIF(ProTrak[CIS Control],$I15,ProTrak[12/1/2024])</f>
        <v>0</v>
      </c>
      <c r="T15" s="216">
        <f>SUMIF(ProTrak[CIS Control],$I15,ProTrak[1/1/2025])</f>
        <v>0</v>
      </c>
      <c r="U15" s="216">
        <f>SUMIF(ProTrak[CIS Control],$I15,ProTrak[2/1/2025])</f>
        <v>0</v>
      </c>
      <c r="V15" s="216">
        <f>SUMIF(ProTrak[CIS Control],$I15,ProTrak[3/1/2025])</f>
        <v>0</v>
      </c>
      <c r="W15" s="216">
        <f>SUMIF(ProTrak[CIS Control],$I15,ProTrak[4/1/2025])</f>
        <v>0</v>
      </c>
      <c r="X15" s="216">
        <f>SUMIF(ProTrak[CIS Control],$I15,ProTrak[5/1/2025])</f>
        <v>0</v>
      </c>
      <c r="Y15" s="216">
        <f>SUMIF(ProTrak[CIS Control],$I15,ProTrak[6/1/2025])</f>
        <v>0</v>
      </c>
    </row>
    <row r="16" spans="3:25" ht="23.65" hidden="1" customHeight="1" x14ac:dyDescent="0.45">
      <c r="G16" s="215"/>
      <c r="I16" s="235" t="str">
        <f>Lookup!D18</f>
        <v>Multiple Environments</v>
      </c>
      <c r="J16" s="238">
        <f t="shared" si="1"/>
        <v>0</v>
      </c>
      <c r="K16" s="216">
        <f>SUMIF(ProTrak[CIS Control],$I16,ProTrak[4/1/2024])</f>
        <v>0</v>
      </c>
      <c r="L16" s="216">
        <f>SUMIF(ProTrak[CIS Control],$I16,ProTrak[5/1/2024])</f>
        <v>0</v>
      </c>
      <c r="M16" s="216">
        <f>SUMIF(ProTrak[CIS Control],$I16,ProTrak[6/1/2024])</f>
        <v>0</v>
      </c>
      <c r="N16" s="216">
        <f>SUMIF(ProTrak[CIS Control],$I16,ProTrak[7/1/2024])</f>
        <v>0</v>
      </c>
      <c r="O16" s="216">
        <f>SUMIF(ProTrak[CIS Control],$I16,ProTrak[8/1/2024])</f>
        <v>0</v>
      </c>
      <c r="P16" s="216">
        <f>SUMIF(ProTrak[CIS Control],$I16,ProTrak[9/1/2024])</f>
        <v>0</v>
      </c>
      <c r="Q16" s="216">
        <f>SUMIF(ProTrak[CIS Control],$I16,ProTrak[10/1/2024])</f>
        <v>0</v>
      </c>
      <c r="R16" s="216">
        <f>SUMIF(ProTrak[CIS Control],$I16,ProTrak[11/1/2024])</f>
        <v>0</v>
      </c>
      <c r="S16" s="216">
        <f>SUMIF(ProTrak[CIS Control],$I16,ProTrak[12/1/2024])</f>
        <v>0</v>
      </c>
      <c r="T16" s="216">
        <f>SUMIF(ProTrak[CIS Control],$I16,ProTrak[1/1/2025])</f>
        <v>0</v>
      </c>
      <c r="U16" s="216">
        <f>SUMIF(ProTrak[CIS Control],$I16,ProTrak[2/1/2025])</f>
        <v>0</v>
      </c>
      <c r="V16" s="216">
        <f>SUMIF(ProTrak[CIS Control],$I16,ProTrak[3/1/2025])</f>
        <v>0</v>
      </c>
      <c r="W16" s="216">
        <f>SUMIF(ProTrak[CIS Control],$I16,ProTrak[4/1/2025])</f>
        <v>0</v>
      </c>
      <c r="X16" s="216">
        <f>SUMIF(ProTrak[CIS Control],$I16,ProTrak[5/1/2025])</f>
        <v>0</v>
      </c>
      <c r="Y16" s="216">
        <f>SUMIF(ProTrak[CIS Control],$I16,ProTrak[6/1/2025])</f>
        <v>0</v>
      </c>
    </row>
    <row r="17" spans="1:26" ht="23.65" hidden="1" customHeight="1" x14ac:dyDescent="0.45">
      <c r="G17" s="215"/>
      <c r="I17" s="235" t="str">
        <f>Lookup!D19</f>
        <v>Other</v>
      </c>
      <c r="J17" s="238">
        <f t="shared" si="1"/>
        <v>0</v>
      </c>
      <c r="K17" s="216">
        <f>SUMIF(ProTrak[CIS Control],$I17,ProTrak[4/1/2024])</f>
        <v>0</v>
      </c>
      <c r="L17" s="216">
        <f>SUMIF(ProTrak[CIS Control],$I17,ProTrak[5/1/2024])</f>
        <v>0</v>
      </c>
      <c r="M17" s="216">
        <f>SUMIF(ProTrak[CIS Control],$I17,ProTrak[6/1/2024])</f>
        <v>0</v>
      </c>
      <c r="N17" s="216">
        <f>SUMIF(ProTrak[CIS Control],$I17,ProTrak[7/1/2024])</f>
        <v>0</v>
      </c>
      <c r="O17" s="216">
        <f>SUMIF(ProTrak[CIS Control],$I17,ProTrak[8/1/2024])</f>
        <v>0</v>
      </c>
      <c r="P17" s="216">
        <f>SUMIF(ProTrak[CIS Control],$I17,ProTrak[9/1/2024])</f>
        <v>0</v>
      </c>
      <c r="Q17" s="216">
        <f>SUMIF(ProTrak[CIS Control],$I17,ProTrak[10/1/2024])</f>
        <v>0</v>
      </c>
      <c r="R17" s="216">
        <f>SUMIF(ProTrak[CIS Control],$I17,ProTrak[11/1/2024])</f>
        <v>0</v>
      </c>
      <c r="S17" s="216">
        <f>SUMIF(ProTrak[CIS Control],$I17,ProTrak[12/1/2024])</f>
        <v>0</v>
      </c>
      <c r="T17" s="216">
        <f>SUMIF(ProTrak[CIS Control],$I17,ProTrak[1/1/2025])</f>
        <v>0</v>
      </c>
      <c r="U17" s="216">
        <f>SUMIF(ProTrak[CIS Control],$I17,ProTrak[2/1/2025])</f>
        <v>0</v>
      </c>
      <c r="V17" s="216">
        <f>SUMIF(ProTrak[CIS Control],$I17,ProTrak[3/1/2025])</f>
        <v>0</v>
      </c>
      <c r="W17" s="216">
        <f>SUMIF(ProTrak[CIS Control],$I17,ProTrak[4/1/2025])</f>
        <v>0</v>
      </c>
      <c r="X17" s="216">
        <f>SUMIF(ProTrak[CIS Control],$I17,ProTrak[5/1/2025])</f>
        <v>0</v>
      </c>
      <c r="Y17" s="216">
        <f>SUMIF(ProTrak[CIS Control],$I17,ProTrak[6/1/2025])</f>
        <v>0</v>
      </c>
    </row>
    <row r="18" spans="1:26" ht="23.65" hidden="1" customHeight="1" x14ac:dyDescent="0.45">
      <c r="G18" s="215"/>
      <c r="I18" s="235" t="e">
        <f>Lookup!#REF!</f>
        <v>#REF!</v>
      </c>
      <c r="J18" s="238">
        <f t="shared" si="1"/>
        <v>0</v>
      </c>
      <c r="K18" s="216">
        <f>SUMIF(ProTrak[CIS Control],$I18,ProTrak[4/1/2024])</f>
        <v>0</v>
      </c>
      <c r="L18" s="216">
        <f>SUMIF(ProTrak[CIS Control],$I18,ProTrak[5/1/2024])</f>
        <v>0</v>
      </c>
      <c r="M18" s="216">
        <f>SUMIF(ProTrak[CIS Control],$I18,ProTrak[6/1/2024])</f>
        <v>0</v>
      </c>
      <c r="N18" s="216">
        <f>SUMIF(ProTrak[CIS Control],$I18,ProTrak[7/1/2024])</f>
        <v>0</v>
      </c>
      <c r="O18" s="216">
        <f>SUMIF(ProTrak[CIS Control],$I18,ProTrak[8/1/2024])</f>
        <v>0</v>
      </c>
      <c r="P18" s="216">
        <f>SUMIF(ProTrak[CIS Control],$I18,ProTrak[9/1/2024])</f>
        <v>0</v>
      </c>
      <c r="Q18" s="216">
        <f>SUMIF(ProTrak[CIS Control],$I18,ProTrak[10/1/2024])</f>
        <v>0</v>
      </c>
      <c r="R18" s="216">
        <f>SUMIF(ProTrak[CIS Control],$I18,ProTrak[11/1/2024])</f>
        <v>0</v>
      </c>
      <c r="S18" s="216">
        <f>SUMIF(ProTrak[CIS Control],$I18,ProTrak[12/1/2024])</f>
        <v>0</v>
      </c>
      <c r="T18" s="216">
        <f>SUMIF(ProTrak[CIS Control],$I18,ProTrak[1/1/2025])</f>
        <v>0</v>
      </c>
      <c r="U18" s="216">
        <f>SUMIF(ProTrak[CIS Control],$I18,ProTrak[2/1/2025])</f>
        <v>0</v>
      </c>
      <c r="V18" s="216">
        <f>SUMIF(ProTrak[CIS Control],$I18,ProTrak[3/1/2025])</f>
        <v>0</v>
      </c>
      <c r="W18" s="216">
        <f>SUMIF(ProTrak[CIS Control],$I18,ProTrak[4/1/2025])</f>
        <v>0</v>
      </c>
      <c r="X18" s="216">
        <f>SUMIF(ProTrak[CIS Control],$I18,ProTrak[5/1/2025])</f>
        <v>0</v>
      </c>
      <c r="Y18" s="216">
        <f>SUMIF(ProTrak[CIS Control],$I18,ProTrak[6/1/2025])</f>
        <v>0</v>
      </c>
    </row>
    <row r="19" spans="1:26" ht="23.65" hidden="1" customHeight="1" x14ac:dyDescent="0.45">
      <c r="G19" s="215"/>
      <c r="I19" s="235">
        <f>Lookup!D20</f>
        <v>0</v>
      </c>
      <c r="J19" s="238">
        <f t="shared" si="1"/>
        <v>0</v>
      </c>
      <c r="K19" s="216">
        <f>SUMIF(ProTrak[CIS Control],$I19,ProTrak[4/1/2024])</f>
        <v>0</v>
      </c>
      <c r="L19" s="216">
        <f>SUMIF(ProTrak[CIS Control],$I19,ProTrak[5/1/2024])</f>
        <v>0</v>
      </c>
      <c r="M19" s="216">
        <f>SUMIF(ProTrak[CIS Control],$I19,ProTrak[6/1/2024])</f>
        <v>0</v>
      </c>
      <c r="N19" s="216">
        <f>SUMIF(ProTrak[CIS Control],$I19,ProTrak[7/1/2024])</f>
        <v>0</v>
      </c>
      <c r="O19" s="216">
        <f>SUMIF(ProTrak[CIS Control],$I19,ProTrak[8/1/2024])</f>
        <v>0</v>
      </c>
      <c r="P19" s="216">
        <f>SUMIF(ProTrak[CIS Control],$I19,ProTrak[9/1/2024])</f>
        <v>0</v>
      </c>
      <c r="Q19" s="216">
        <f>SUMIF(ProTrak[CIS Control],$I19,ProTrak[10/1/2024])</f>
        <v>0</v>
      </c>
      <c r="R19" s="216">
        <f>SUMIF(ProTrak[CIS Control],$I19,ProTrak[11/1/2024])</f>
        <v>0</v>
      </c>
      <c r="S19" s="216">
        <f>SUMIF(ProTrak[CIS Control],$I19,ProTrak[12/1/2024])</f>
        <v>0</v>
      </c>
      <c r="T19" s="216">
        <f>SUMIF(ProTrak[CIS Control],$I19,ProTrak[1/1/2025])</f>
        <v>0</v>
      </c>
      <c r="U19" s="216">
        <f>SUMIF(ProTrak[CIS Control],$I19,ProTrak[2/1/2025])</f>
        <v>0</v>
      </c>
      <c r="V19" s="216">
        <f>SUMIF(ProTrak[CIS Control],$I19,ProTrak[3/1/2025])</f>
        <v>0</v>
      </c>
      <c r="W19" s="216">
        <f>SUMIF(ProTrak[CIS Control],$I19,ProTrak[4/1/2025])</f>
        <v>0</v>
      </c>
      <c r="X19" s="216">
        <f>SUMIF(ProTrak[CIS Control],$I19,ProTrak[5/1/2025])</f>
        <v>0</v>
      </c>
      <c r="Y19" s="216">
        <f>SUMIF(ProTrak[CIS Control],$I19,ProTrak[6/1/2025])</f>
        <v>0</v>
      </c>
    </row>
    <row r="20" spans="1:26" ht="23.65" hidden="1" customHeight="1" x14ac:dyDescent="0.45">
      <c r="G20" s="215"/>
      <c r="I20" s="235" t="str">
        <f>Lookup!D21</f>
        <v>Industry</v>
      </c>
      <c r="J20" s="238">
        <f t="shared" si="1"/>
        <v>0</v>
      </c>
      <c r="K20" s="216">
        <f>SUMIF(ProTrak[CIS Control],$I20,ProTrak[4/1/2024])</f>
        <v>0</v>
      </c>
      <c r="L20" s="216">
        <f>SUMIF(ProTrak[CIS Control],$I20,ProTrak[5/1/2024])</f>
        <v>0</v>
      </c>
      <c r="M20" s="216">
        <f>SUMIF(ProTrak[CIS Control],$I20,ProTrak[6/1/2024])</f>
        <v>0</v>
      </c>
      <c r="N20" s="216">
        <f>SUMIF(ProTrak[CIS Control],$I20,ProTrak[7/1/2024])</f>
        <v>0</v>
      </c>
      <c r="O20" s="216">
        <f>SUMIF(ProTrak[CIS Control],$I20,ProTrak[8/1/2024])</f>
        <v>0</v>
      </c>
      <c r="P20" s="216">
        <f>SUMIF(ProTrak[CIS Control],$I20,ProTrak[9/1/2024])</f>
        <v>0</v>
      </c>
      <c r="Q20" s="216">
        <f>SUMIF(ProTrak[CIS Control],$I20,ProTrak[10/1/2024])</f>
        <v>0</v>
      </c>
      <c r="R20" s="216">
        <f>SUMIF(ProTrak[CIS Control],$I20,ProTrak[11/1/2024])</f>
        <v>0</v>
      </c>
      <c r="S20" s="216">
        <f>SUMIF(ProTrak[CIS Control],$I20,ProTrak[12/1/2024])</f>
        <v>0</v>
      </c>
      <c r="T20" s="216">
        <f>SUMIF(ProTrak[CIS Control],$I20,ProTrak[1/1/2025])</f>
        <v>0</v>
      </c>
      <c r="U20" s="216">
        <f>SUMIF(ProTrak[CIS Control],$I20,ProTrak[2/1/2025])</f>
        <v>0</v>
      </c>
      <c r="V20" s="216">
        <f>SUMIF(ProTrak[CIS Control],$I20,ProTrak[3/1/2025])</f>
        <v>0</v>
      </c>
      <c r="W20" s="216">
        <f>SUMIF(ProTrak[CIS Control],$I20,ProTrak[4/1/2025])</f>
        <v>0</v>
      </c>
      <c r="X20" s="216">
        <f>SUMIF(ProTrak[CIS Control],$I20,ProTrak[5/1/2025])</f>
        <v>0</v>
      </c>
      <c r="Y20" s="216">
        <f>SUMIF(ProTrak[CIS Control],$I20,ProTrak[6/1/2025])</f>
        <v>0</v>
      </c>
    </row>
    <row r="21" spans="1:26" ht="23.65" hidden="1" customHeight="1" x14ac:dyDescent="0.45">
      <c r="G21" s="215"/>
      <c r="I21" s="235" t="str">
        <f>Lookup!D23</f>
        <v>Banks and Credit Unions</v>
      </c>
      <c r="J21" s="238">
        <f t="shared" si="1"/>
        <v>0</v>
      </c>
      <c r="K21" s="216">
        <f>SUMIF(ProTrak[CIS Control],$I21,ProTrak[4/1/2024])</f>
        <v>0</v>
      </c>
      <c r="L21" s="216">
        <f>SUMIF(ProTrak[CIS Control],$I21,ProTrak[5/1/2024])</f>
        <v>0</v>
      </c>
      <c r="M21" s="216">
        <f>SUMIF(ProTrak[CIS Control],$I21,ProTrak[6/1/2024])</f>
        <v>0</v>
      </c>
      <c r="N21" s="216">
        <f>SUMIF(ProTrak[CIS Control],$I21,ProTrak[7/1/2024])</f>
        <v>0</v>
      </c>
      <c r="O21" s="216">
        <f>SUMIF(ProTrak[CIS Control],$I21,ProTrak[8/1/2024])</f>
        <v>0</v>
      </c>
      <c r="P21" s="216">
        <f>SUMIF(ProTrak[CIS Control],$I21,ProTrak[9/1/2024])</f>
        <v>0</v>
      </c>
      <c r="Q21" s="216">
        <f>SUMIF(ProTrak[CIS Control],$I21,ProTrak[10/1/2024])</f>
        <v>0</v>
      </c>
      <c r="R21" s="216">
        <f>SUMIF(ProTrak[CIS Control],$I21,ProTrak[11/1/2024])</f>
        <v>0</v>
      </c>
      <c r="S21" s="216">
        <f>SUMIF(ProTrak[CIS Control],$I21,ProTrak[12/1/2024])</f>
        <v>0</v>
      </c>
      <c r="T21" s="216">
        <f>SUMIF(ProTrak[CIS Control],$I21,ProTrak[1/1/2025])</f>
        <v>0</v>
      </c>
      <c r="U21" s="216">
        <f>SUMIF(ProTrak[CIS Control],$I21,ProTrak[2/1/2025])</f>
        <v>0</v>
      </c>
      <c r="V21" s="216">
        <f>SUMIF(ProTrak[CIS Control],$I21,ProTrak[3/1/2025])</f>
        <v>0</v>
      </c>
      <c r="W21" s="216">
        <f>SUMIF(ProTrak[CIS Control],$I21,ProTrak[4/1/2025])</f>
        <v>0</v>
      </c>
      <c r="X21" s="216">
        <f>SUMIF(ProTrak[CIS Control],$I21,ProTrak[5/1/2025])</f>
        <v>0</v>
      </c>
      <c r="Y21" s="216">
        <f>SUMIF(ProTrak[CIS Control],$I21,ProTrak[6/1/2025])</f>
        <v>0</v>
      </c>
    </row>
    <row r="22" spans="1:26" ht="23.65" hidden="1" customHeight="1" x14ac:dyDescent="0.45">
      <c r="G22" s="215"/>
      <c r="I22" s="235" t="str">
        <f>Lookup!D24</f>
        <v>Educational</v>
      </c>
      <c r="J22" s="238">
        <f t="shared" si="1"/>
        <v>0</v>
      </c>
      <c r="K22" s="216">
        <f>SUMIF(ProTrak[CIS Control],$I22,ProTrak[4/1/2024])</f>
        <v>0</v>
      </c>
      <c r="L22" s="216">
        <f>SUMIF(ProTrak[CIS Control],$I22,ProTrak[5/1/2024])</f>
        <v>0</v>
      </c>
      <c r="M22" s="216">
        <f>SUMIF(ProTrak[CIS Control],$I22,ProTrak[6/1/2024])</f>
        <v>0</v>
      </c>
      <c r="N22" s="216">
        <f>SUMIF(ProTrak[CIS Control],$I22,ProTrak[7/1/2024])</f>
        <v>0</v>
      </c>
      <c r="O22" s="216">
        <f>SUMIF(ProTrak[CIS Control],$I22,ProTrak[8/1/2024])</f>
        <v>0</v>
      </c>
      <c r="P22" s="216">
        <f>SUMIF(ProTrak[CIS Control],$I22,ProTrak[9/1/2024])</f>
        <v>0</v>
      </c>
      <c r="Q22" s="216">
        <f>SUMIF(ProTrak[CIS Control],$I22,ProTrak[10/1/2024])</f>
        <v>0</v>
      </c>
      <c r="R22" s="216">
        <f>SUMIF(ProTrak[CIS Control],$I22,ProTrak[11/1/2024])</f>
        <v>0</v>
      </c>
      <c r="S22" s="216">
        <f>SUMIF(ProTrak[CIS Control],$I22,ProTrak[12/1/2024])</f>
        <v>0</v>
      </c>
      <c r="T22" s="216">
        <f>SUMIF(ProTrak[CIS Control],$I22,ProTrak[1/1/2025])</f>
        <v>0</v>
      </c>
      <c r="U22" s="216">
        <f>SUMIF(ProTrak[CIS Control],$I22,ProTrak[2/1/2025])</f>
        <v>0</v>
      </c>
      <c r="V22" s="216">
        <f>SUMIF(ProTrak[CIS Control],$I22,ProTrak[3/1/2025])</f>
        <v>0</v>
      </c>
      <c r="W22" s="216">
        <f>SUMIF(ProTrak[CIS Control],$I22,ProTrak[4/1/2025])</f>
        <v>0</v>
      </c>
      <c r="X22" s="216">
        <f>SUMIF(ProTrak[CIS Control],$I22,ProTrak[5/1/2025])</f>
        <v>0</v>
      </c>
      <c r="Y22" s="216">
        <f>SUMIF(ProTrak[CIS Control],$I22,ProTrak[6/1/2025])</f>
        <v>0</v>
      </c>
    </row>
    <row r="23" spans="1:26" ht="23.65" hidden="1" customHeight="1" x14ac:dyDescent="0.45">
      <c r="G23" s="215"/>
      <c r="I23" s="235" t="str">
        <f>Lookup!D25</f>
        <v>Finance - Non-Banking</v>
      </c>
      <c r="J23" s="238">
        <f t="shared" si="1"/>
        <v>0</v>
      </c>
      <c r="K23" s="216">
        <f>SUMIF(ProTrak[CIS Control],$I23,ProTrak[4/1/2024])</f>
        <v>0</v>
      </c>
      <c r="L23" s="216">
        <f>SUMIF(ProTrak[CIS Control],$I23,ProTrak[5/1/2024])</f>
        <v>0</v>
      </c>
      <c r="M23" s="216">
        <f>SUMIF(ProTrak[CIS Control],$I23,ProTrak[6/1/2024])</f>
        <v>0</v>
      </c>
      <c r="N23" s="216">
        <f>SUMIF(ProTrak[CIS Control],$I23,ProTrak[7/1/2024])</f>
        <v>0</v>
      </c>
      <c r="O23" s="216">
        <f>SUMIF(ProTrak[CIS Control],$I23,ProTrak[8/1/2024])</f>
        <v>0</v>
      </c>
      <c r="P23" s="216">
        <f>SUMIF(ProTrak[CIS Control],$I23,ProTrak[9/1/2024])</f>
        <v>0</v>
      </c>
      <c r="Q23" s="216">
        <f>SUMIF(ProTrak[CIS Control],$I23,ProTrak[10/1/2024])</f>
        <v>0</v>
      </c>
      <c r="R23" s="216">
        <f>SUMIF(ProTrak[CIS Control],$I23,ProTrak[11/1/2024])</f>
        <v>0</v>
      </c>
      <c r="S23" s="216">
        <f>SUMIF(ProTrak[CIS Control],$I23,ProTrak[12/1/2024])</f>
        <v>0</v>
      </c>
      <c r="T23" s="216">
        <f>SUMIF(ProTrak[CIS Control],$I23,ProTrak[1/1/2025])</f>
        <v>0</v>
      </c>
      <c r="U23" s="216">
        <f>SUMIF(ProTrak[CIS Control],$I23,ProTrak[2/1/2025])</f>
        <v>0</v>
      </c>
      <c r="V23" s="216">
        <f>SUMIF(ProTrak[CIS Control],$I23,ProTrak[3/1/2025])</f>
        <v>0</v>
      </c>
      <c r="W23" s="216">
        <f>SUMIF(ProTrak[CIS Control],$I23,ProTrak[4/1/2025])</f>
        <v>0</v>
      </c>
      <c r="X23" s="216">
        <f>SUMIF(ProTrak[CIS Control],$I23,ProTrak[5/1/2025])</f>
        <v>0</v>
      </c>
      <c r="Y23" s="216">
        <f>SUMIF(ProTrak[CIS Control],$I23,ProTrak[6/1/2025])</f>
        <v>0</v>
      </c>
    </row>
    <row r="24" spans="1:26" ht="23.65" hidden="1" customHeight="1" x14ac:dyDescent="0.45">
      <c r="G24" s="215"/>
      <c r="I24" s="235" t="str">
        <f>Lookup!D26</f>
        <v>Healthcare</v>
      </c>
      <c r="J24" s="238">
        <f t="shared" si="1"/>
        <v>0</v>
      </c>
      <c r="K24" s="216">
        <f>SUMIF(ProTrak[CIS Control],$I24,ProTrak[4/1/2024])</f>
        <v>0</v>
      </c>
      <c r="L24" s="216">
        <f>SUMIF(ProTrak[CIS Control],$I24,ProTrak[5/1/2024])</f>
        <v>0</v>
      </c>
      <c r="M24" s="216">
        <f>SUMIF(ProTrak[CIS Control],$I24,ProTrak[6/1/2024])</f>
        <v>0</v>
      </c>
      <c r="N24" s="216">
        <f>SUMIF(ProTrak[CIS Control],$I24,ProTrak[7/1/2024])</f>
        <v>0</v>
      </c>
      <c r="O24" s="216">
        <f>SUMIF(ProTrak[CIS Control],$I24,ProTrak[8/1/2024])</f>
        <v>0</v>
      </c>
      <c r="P24" s="216">
        <f>SUMIF(ProTrak[CIS Control],$I24,ProTrak[9/1/2024])</f>
        <v>0</v>
      </c>
      <c r="Q24" s="216">
        <f>SUMIF(ProTrak[CIS Control],$I24,ProTrak[10/1/2024])</f>
        <v>0</v>
      </c>
      <c r="R24" s="216">
        <f>SUMIF(ProTrak[CIS Control],$I24,ProTrak[11/1/2024])</f>
        <v>0</v>
      </c>
      <c r="S24" s="216">
        <f>SUMIF(ProTrak[CIS Control],$I24,ProTrak[12/1/2024])</f>
        <v>0</v>
      </c>
      <c r="T24" s="216">
        <f>SUMIF(ProTrak[CIS Control],$I24,ProTrak[1/1/2025])</f>
        <v>0</v>
      </c>
      <c r="U24" s="216">
        <f>SUMIF(ProTrak[CIS Control],$I24,ProTrak[2/1/2025])</f>
        <v>0</v>
      </c>
      <c r="V24" s="216">
        <f>SUMIF(ProTrak[CIS Control],$I24,ProTrak[3/1/2025])</f>
        <v>0</v>
      </c>
      <c r="W24" s="216">
        <f>SUMIF(ProTrak[CIS Control],$I24,ProTrak[4/1/2025])</f>
        <v>0</v>
      </c>
      <c r="X24" s="216">
        <f>SUMIF(ProTrak[CIS Control],$I24,ProTrak[5/1/2025])</f>
        <v>0</v>
      </c>
      <c r="Y24" s="216">
        <f>SUMIF(ProTrak[CIS Control],$I24,ProTrak[6/1/2025])</f>
        <v>0</v>
      </c>
    </row>
    <row r="25" spans="1:26" s="219" customFormat="1" ht="23.65" hidden="1" customHeight="1" x14ac:dyDescent="0.45">
      <c r="I25" s="235" t="str">
        <f>Lookup!D27</f>
        <v>Hospitality</v>
      </c>
      <c r="J25" s="238">
        <f t="shared" si="1"/>
        <v>0</v>
      </c>
      <c r="K25" s="216">
        <f>SUMIF(ProTrak[CIS Control],$I25,ProTrak[4/1/2024])</f>
        <v>0</v>
      </c>
      <c r="L25" s="216">
        <f>SUMIF(ProTrak[CIS Control],$I25,ProTrak[5/1/2024])</f>
        <v>0</v>
      </c>
      <c r="M25" s="216">
        <f>SUMIF(ProTrak[CIS Control],$I25,ProTrak[6/1/2024])</f>
        <v>0</v>
      </c>
      <c r="N25" s="216">
        <f>SUMIF(ProTrak[CIS Control],$I25,ProTrak[7/1/2024])</f>
        <v>0</v>
      </c>
      <c r="O25" s="216">
        <f>SUMIF(ProTrak[CIS Control],$I25,ProTrak[8/1/2024])</f>
        <v>0</v>
      </c>
      <c r="P25" s="216">
        <f>SUMIF(ProTrak[CIS Control],$I25,ProTrak[9/1/2024])</f>
        <v>0</v>
      </c>
      <c r="Q25" s="216">
        <f>SUMIF(ProTrak[CIS Control],$I25,ProTrak[10/1/2024])</f>
        <v>0</v>
      </c>
      <c r="R25" s="216">
        <f>SUMIF(ProTrak[CIS Control],$I25,ProTrak[11/1/2024])</f>
        <v>0</v>
      </c>
      <c r="S25" s="216">
        <f>SUMIF(ProTrak[CIS Control],$I25,ProTrak[12/1/2024])</f>
        <v>0</v>
      </c>
      <c r="T25" s="216">
        <f>SUMIF(ProTrak[CIS Control],$I25,ProTrak[1/1/2025])</f>
        <v>0</v>
      </c>
      <c r="U25" s="216">
        <f>SUMIF(ProTrak[CIS Control],$I25,ProTrak[2/1/2025])</f>
        <v>0</v>
      </c>
      <c r="V25" s="216">
        <f>SUMIF(ProTrak[CIS Control],$I25,ProTrak[3/1/2025])</f>
        <v>0</v>
      </c>
      <c r="W25" s="216">
        <f>SUMIF(ProTrak[CIS Control],$I25,ProTrak[4/1/2025])</f>
        <v>0</v>
      </c>
      <c r="X25" s="216">
        <f>SUMIF(ProTrak[CIS Control],$I25,ProTrak[5/1/2025])</f>
        <v>0</v>
      </c>
      <c r="Y25" s="216">
        <f>SUMIF(ProTrak[CIS Control],$I25,ProTrak[6/1/2025])</f>
        <v>0</v>
      </c>
    </row>
    <row r="26" spans="1:26" s="219" customFormat="1" ht="23.65" hidden="1" customHeight="1" x14ac:dyDescent="0.45">
      <c r="I26" s="235" t="str">
        <f>Lookup!D28</f>
        <v>Information Services</v>
      </c>
      <c r="J26" s="238">
        <f t="shared" si="1"/>
        <v>0</v>
      </c>
      <c r="K26" s="216">
        <f>SUMIF(ProTrak[CIS Control],$I26,ProTrak[4/1/2024])</f>
        <v>0</v>
      </c>
      <c r="L26" s="216">
        <f>SUMIF(ProTrak[CIS Control],$I26,ProTrak[5/1/2024])</f>
        <v>0</v>
      </c>
      <c r="M26" s="216">
        <f>SUMIF(ProTrak[CIS Control],$I26,ProTrak[6/1/2024])</f>
        <v>0</v>
      </c>
      <c r="N26" s="216">
        <f>SUMIF(ProTrak[CIS Control],$I26,ProTrak[7/1/2024])</f>
        <v>0</v>
      </c>
      <c r="O26" s="216">
        <f>SUMIF(ProTrak[CIS Control],$I26,ProTrak[8/1/2024])</f>
        <v>0</v>
      </c>
      <c r="P26" s="216">
        <f>SUMIF(ProTrak[CIS Control],$I26,ProTrak[9/1/2024])</f>
        <v>0</v>
      </c>
      <c r="Q26" s="216">
        <f>SUMIF(ProTrak[CIS Control],$I26,ProTrak[10/1/2024])</f>
        <v>0</v>
      </c>
      <c r="R26" s="216">
        <f>SUMIF(ProTrak[CIS Control],$I26,ProTrak[11/1/2024])</f>
        <v>0</v>
      </c>
      <c r="S26" s="216">
        <f>SUMIF(ProTrak[CIS Control],$I26,ProTrak[12/1/2024])</f>
        <v>0</v>
      </c>
      <c r="T26" s="216">
        <f>SUMIF(ProTrak[CIS Control],$I26,ProTrak[1/1/2025])</f>
        <v>0</v>
      </c>
      <c r="U26" s="216">
        <f>SUMIF(ProTrak[CIS Control],$I26,ProTrak[2/1/2025])</f>
        <v>0</v>
      </c>
      <c r="V26" s="216">
        <f>SUMIF(ProTrak[CIS Control],$I26,ProTrak[3/1/2025])</f>
        <v>0</v>
      </c>
      <c r="W26" s="216">
        <f>SUMIF(ProTrak[CIS Control],$I26,ProTrak[4/1/2025])</f>
        <v>0</v>
      </c>
      <c r="X26" s="216">
        <f>SUMIF(ProTrak[CIS Control],$I26,ProTrak[5/1/2025])</f>
        <v>0</v>
      </c>
      <c r="Y26" s="216">
        <f>SUMIF(ProTrak[CIS Control],$I26,ProTrak[6/1/2025])</f>
        <v>0</v>
      </c>
    </row>
    <row r="27" spans="1:26" s="219" customFormat="1" ht="23.65" hidden="1" customHeight="1" x14ac:dyDescent="0.45">
      <c r="I27" s="235" t="str">
        <f>Lookup!D29</f>
        <v>Manufacturing</v>
      </c>
      <c r="J27" s="238">
        <f t="shared" si="1"/>
        <v>0</v>
      </c>
      <c r="K27" s="216">
        <f>SUMIF(ProTrak[CIS Control],$I27,ProTrak[4/1/2024])</f>
        <v>0</v>
      </c>
      <c r="L27" s="216">
        <f>SUMIF(ProTrak[CIS Control],$I27,ProTrak[5/1/2024])</f>
        <v>0</v>
      </c>
      <c r="M27" s="216">
        <f>SUMIF(ProTrak[CIS Control],$I27,ProTrak[6/1/2024])</f>
        <v>0</v>
      </c>
      <c r="N27" s="216">
        <f>SUMIF(ProTrak[CIS Control],$I27,ProTrak[7/1/2024])</f>
        <v>0</v>
      </c>
      <c r="O27" s="216">
        <f>SUMIF(ProTrak[CIS Control],$I27,ProTrak[8/1/2024])</f>
        <v>0</v>
      </c>
      <c r="P27" s="216">
        <f>SUMIF(ProTrak[CIS Control],$I27,ProTrak[9/1/2024])</f>
        <v>0</v>
      </c>
      <c r="Q27" s="216">
        <f>SUMIF(ProTrak[CIS Control],$I27,ProTrak[10/1/2024])</f>
        <v>0</v>
      </c>
      <c r="R27" s="216">
        <f>SUMIF(ProTrak[CIS Control],$I27,ProTrak[11/1/2024])</f>
        <v>0</v>
      </c>
      <c r="S27" s="216">
        <f>SUMIF(ProTrak[CIS Control],$I27,ProTrak[12/1/2024])</f>
        <v>0</v>
      </c>
      <c r="T27" s="216">
        <f>SUMIF(ProTrak[CIS Control],$I27,ProTrak[1/1/2025])</f>
        <v>0</v>
      </c>
      <c r="U27" s="216">
        <f>SUMIF(ProTrak[CIS Control],$I27,ProTrak[2/1/2025])</f>
        <v>0</v>
      </c>
      <c r="V27" s="216">
        <f>SUMIF(ProTrak[CIS Control],$I27,ProTrak[3/1/2025])</f>
        <v>0</v>
      </c>
      <c r="W27" s="216">
        <f>SUMIF(ProTrak[CIS Control],$I27,ProTrak[4/1/2025])</f>
        <v>0</v>
      </c>
      <c r="X27" s="216">
        <f>SUMIF(ProTrak[CIS Control],$I27,ProTrak[5/1/2025])</f>
        <v>0</v>
      </c>
      <c r="Y27" s="216">
        <f>SUMIF(ProTrak[CIS Control],$I27,ProTrak[6/1/2025])</f>
        <v>0</v>
      </c>
    </row>
    <row r="28" spans="1:26" s="219" customFormat="1" ht="23.65" customHeight="1" x14ac:dyDescent="0.45">
      <c r="C28" s="235" t="s">
        <v>1504</v>
      </c>
      <c r="D28" s="238">
        <f>SUM(ProTrak[Initial Risk Score])</f>
        <v>198</v>
      </c>
      <c r="I28" s="215"/>
      <c r="J28" s="215"/>
      <c r="K28" s="239"/>
      <c r="L28" s="239"/>
      <c r="M28" s="239"/>
      <c r="N28" s="239"/>
      <c r="O28" s="239"/>
      <c r="P28" s="239"/>
      <c r="Q28" s="239"/>
      <c r="R28" s="239"/>
      <c r="S28" s="239"/>
      <c r="T28" s="239"/>
      <c r="U28" s="239"/>
      <c r="V28" s="239"/>
      <c r="W28" s="239"/>
      <c r="X28" s="239"/>
      <c r="Y28" s="239"/>
    </row>
    <row r="29" spans="1:26" s="219" customFormat="1" ht="23.65" customHeight="1" x14ac:dyDescent="0.45">
      <c r="C29" s="235" t="s">
        <v>1505</v>
      </c>
      <c r="D29" s="238">
        <f>SUM(-SUMIF(ProTrak[Status],"Completed",ProTrak[Initial Risk Score]),(SUMIF(ProTrak[Status],"Completed",ProTrak[Safeguard Risk Score])))</f>
        <v>-31</v>
      </c>
      <c r="I29" s="215"/>
      <c r="J29" s="215"/>
      <c r="K29" s="239"/>
      <c r="L29" s="239"/>
      <c r="M29" s="239"/>
      <c r="N29" s="239"/>
      <c r="O29" s="239"/>
      <c r="P29" s="239"/>
      <c r="Q29" s="239"/>
      <c r="R29" s="239"/>
      <c r="S29" s="239"/>
      <c r="T29" s="239"/>
      <c r="U29" s="239"/>
      <c r="V29" s="239"/>
      <c r="W29" s="239"/>
      <c r="X29" s="239"/>
      <c r="Y29" s="239"/>
    </row>
    <row r="30" spans="1:26" s="219" customFormat="1" ht="23.65" customHeight="1" x14ac:dyDescent="0.45">
      <c r="C30" s="235" t="s">
        <v>1506</v>
      </c>
      <c r="D30" s="238">
        <f>D28+D29</f>
        <v>167</v>
      </c>
      <c r="I30" s="215"/>
      <c r="J30" s="215"/>
      <c r="K30" s="239"/>
      <c r="L30" s="239"/>
      <c r="M30" s="239"/>
      <c r="N30" s="239"/>
      <c r="O30" s="239"/>
      <c r="P30" s="239"/>
      <c r="Q30" s="239"/>
      <c r="R30" s="239"/>
      <c r="S30" s="239"/>
      <c r="T30" s="239"/>
      <c r="U30" s="239"/>
      <c r="V30" s="239"/>
      <c r="W30" s="239"/>
      <c r="X30" s="239"/>
      <c r="Y30" s="239"/>
    </row>
    <row r="31" spans="1:26" x14ac:dyDescent="0.45">
      <c r="G31" s="215"/>
      <c r="K31" s="306" t="str">
        <f>K2</f>
        <v>Q2.2024</v>
      </c>
      <c r="L31" s="306"/>
      <c r="M31" s="306"/>
      <c r="N31" s="306" t="str">
        <f>N2</f>
        <v>Q3.2024</v>
      </c>
      <c r="O31" s="306"/>
      <c r="P31" s="306"/>
      <c r="Q31" s="306" t="str">
        <f>Q2</f>
        <v>Q4.2024</v>
      </c>
      <c r="R31" s="306"/>
      <c r="S31" s="306"/>
      <c r="T31" s="306" t="str">
        <f>T2</f>
        <v>Q1.2025</v>
      </c>
      <c r="U31" s="306"/>
      <c r="V31" s="306"/>
      <c r="W31" s="306" t="str">
        <f>W2</f>
        <v>Q2.2025</v>
      </c>
      <c r="X31" s="306"/>
      <c r="Y31" s="306"/>
    </row>
    <row r="32" spans="1:26" s="97" customFormat="1" x14ac:dyDescent="0.45">
      <c r="A32" s="243" t="s">
        <v>1985</v>
      </c>
      <c r="B32" s="244" t="s">
        <v>38</v>
      </c>
      <c r="C32" s="244" t="s">
        <v>1511</v>
      </c>
      <c r="D32" s="245" t="s">
        <v>1512</v>
      </c>
      <c r="E32" s="246" t="s">
        <v>1384</v>
      </c>
      <c r="F32" s="244" t="s">
        <v>1513</v>
      </c>
      <c r="G32" s="247" t="s">
        <v>850</v>
      </c>
      <c r="H32" s="247" t="s">
        <v>849</v>
      </c>
      <c r="I32" s="247" t="s">
        <v>566</v>
      </c>
      <c r="J32" s="244" t="s">
        <v>848</v>
      </c>
      <c r="K32" s="40" t="s">
        <v>1496</v>
      </c>
      <c r="L32" s="40" t="s">
        <v>1517</v>
      </c>
      <c r="M32" s="40" t="s">
        <v>1518</v>
      </c>
      <c r="N32" s="40" t="s">
        <v>1497</v>
      </c>
      <c r="O32" s="40" t="s">
        <v>1519</v>
      </c>
      <c r="P32" s="40" t="s">
        <v>1520</v>
      </c>
      <c r="Q32" s="40" t="s">
        <v>1498</v>
      </c>
      <c r="R32" s="40" t="s">
        <v>1521</v>
      </c>
      <c r="S32" s="40" t="s">
        <v>1522</v>
      </c>
      <c r="T32" s="40" t="s">
        <v>1499</v>
      </c>
      <c r="U32" s="40" t="s">
        <v>1523</v>
      </c>
      <c r="V32" s="40" t="s">
        <v>1524</v>
      </c>
      <c r="W32" s="40" t="s">
        <v>1500</v>
      </c>
      <c r="X32" s="40" t="s">
        <v>1525</v>
      </c>
      <c r="Y32" s="40" t="s">
        <v>1526</v>
      </c>
      <c r="Z32" s="248" t="s">
        <v>832</v>
      </c>
    </row>
    <row r="33" spans="1:26" ht="47.25" x14ac:dyDescent="0.45">
      <c r="A33" s="19" t="s">
        <v>953</v>
      </c>
      <c r="B33" s="249" t="s">
        <v>655</v>
      </c>
      <c r="C33" s="250" t="s">
        <v>1973</v>
      </c>
      <c r="D33" s="251">
        <v>12</v>
      </c>
      <c r="E33" s="217" t="s">
        <v>1894</v>
      </c>
      <c r="F33" s="251">
        <v>6</v>
      </c>
      <c r="G33" s="252"/>
      <c r="H33" s="252"/>
      <c r="I33" s="253"/>
      <c r="J33" s="254" t="s">
        <v>1357</v>
      </c>
      <c r="K33" s="218"/>
      <c r="L33" s="218"/>
      <c r="M33" s="218"/>
      <c r="N33" s="218"/>
      <c r="O33" s="218"/>
      <c r="P33" s="218"/>
      <c r="Q33" s="218"/>
      <c r="R33" s="218"/>
      <c r="S33" s="218"/>
      <c r="T33" s="218"/>
      <c r="U33" s="218"/>
      <c r="V33" s="218"/>
      <c r="W33" s="252"/>
      <c r="X33" s="252"/>
      <c r="Y33" s="252"/>
      <c r="Z33" s="255" t="s">
        <v>1972</v>
      </c>
    </row>
    <row r="34" spans="1:26" ht="31.5" x14ac:dyDescent="0.45">
      <c r="A34" s="19" t="s">
        <v>911</v>
      </c>
      <c r="B34" s="249" t="s">
        <v>11</v>
      </c>
      <c r="C34" s="250" t="s">
        <v>1974</v>
      </c>
      <c r="D34" s="251">
        <v>9</v>
      </c>
      <c r="E34" s="217" t="s">
        <v>1888</v>
      </c>
      <c r="F34" s="251">
        <v>6</v>
      </c>
      <c r="G34" s="252"/>
      <c r="H34" s="252"/>
      <c r="I34" s="253"/>
      <c r="J34" s="254" t="s">
        <v>1362</v>
      </c>
      <c r="K34" s="218"/>
      <c r="L34" s="218"/>
      <c r="M34" s="218"/>
      <c r="N34" s="218"/>
      <c r="O34" s="218"/>
      <c r="P34" s="218"/>
      <c r="Q34" s="218"/>
      <c r="R34" s="218"/>
      <c r="S34" s="218"/>
      <c r="T34" s="218"/>
      <c r="U34" s="218"/>
      <c r="V34" s="218"/>
      <c r="W34" s="252"/>
      <c r="X34" s="252"/>
      <c r="Y34" s="252"/>
      <c r="Z34" s="255"/>
    </row>
    <row r="35" spans="1:26" ht="31.5" x14ac:dyDescent="0.45">
      <c r="A35" s="19" t="s">
        <v>915</v>
      </c>
      <c r="B35" s="249" t="s">
        <v>28</v>
      </c>
      <c r="C35" s="250" t="s">
        <v>1975</v>
      </c>
      <c r="D35" s="251">
        <v>9</v>
      </c>
      <c r="E35" s="217" t="s">
        <v>1889</v>
      </c>
      <c r="F35" s="251">
        <v>6</v>
      </c>
      <c r="G35" s="252"/>
      <c r="H35" s="252"/>
      <c r="I35" s="253"/>
      <c r="J35" s="254" t="s">
        <v>1357</v>
      </c>
      <c r="K35" s="218"/>
      <c r="L35" s="218"/>
      <c r="M35" s="218"/>
      <c r="N35" s="218"/>
      <c r="O35" s="218"/>
      <c r="P35" s="218"/>
      <c r="Q35" s="218"/>
      <c r="R35" s="218"/>
      <c r="S35" s="218"/>
      <c r="T35" s="218"/>
      <c r="U35" s="218"/>
      <c r="V35" s="218"/>
      <c r="W35" s="252"/>
      <c r="X35" s="252"/>
      <c r="Y35" s="252"/>
      <c r="Z35" s="255"/>
    </row>
    <row r="36" spans="1:26" ht="31.5" x14ac:dyDescent="0.45">
      <c r="A36" s="19" t="s">
        <v>942</v>
      </c>
      <c r="B36" s="249" t="s">
        <v>21</v>
      </c>
      <c r="C36" s="250" t="s">
        <v>1976</v>
      </c>
      <c r="D36" s="251">
        <v>12</v>
      </c>
      <c r="E36" s="217" t="s">
        <v>1893</v>
      </c>
      <c r="F36" s="251">
        <v>6</v>
      </c>
      <c r="G36" s="252"/>
      <c r="H36" s="252"/>
      <c r="I36" s="253"/>
      <c r="J36" s="254" t="s">
        <v>1362</v>
      </c>
      <c r="K36" s="218"/>
      <c r="L36" s="218"/>
      <c r="M36" s="218"/>
      <c r="N36" s="218"/>
      <c r="O36" s="218"/>
      <c r="P36" s="218"/>
      <c r="Q36" s="218"/>
      <c r="R36" s="218"/>
      <c r="S36" s="218"/>
      <c r="T36" s="218"/>
      <c r="U36" s="218"/>
      <c r="V36" s="218"/>
      <c r="W36" s="252"/>
      <c r="X36" s="252"/>
      <c r="Y36" s="252"/>
      <c r="Z36" s="255"/>
    </row>
    <row r="37" spans="1:26" ht="31.5" x14ac:dyDescent="0.45">
      <c r="A37" s="19" t="s">
        <v>957</v>
      </c>
      <c r="B37" s="249" t="s">
        <v>24</v>
      </c>
      <c r="C37" s="250" t="s">
        <v>1977</v>
      </c>
      <c r="D37" s="251">
        <v>12</v>
      </c>
      <c r="E37" s="217" t="s">
        <v>1896</v>
      </c>
      <c r="F37" s="251">
        <v>6</v>
      </c>
      <c r="G37" s="252"/>
      <c r="H37" s="252"/>
      <c r="I37" s="253"/>
      <c r="J37" s="254" t="s">
        <v>1358</v>
      </c>
      <c r="K37" s="218"/>
      <c r="L37" s="218"/>
      <c r="M37" s="218"/>
      <c r="N37" s="218"/>
      <c r="O37" s="218"/>
      <c r="P37" s="218"/>
      <c r="Q37" s="218"/>
      <c r="R37" s="218"/>
      <c r="S37" s="298"/>
      <c r="T37" s="218"/>
      <c r="U37" s="218"/>
      <c r="V37" s="218"/>
      <c r="W37" s="252"/>
      <c r="X37" s="252"/>
      <c r="Y37" s="252"/>
      <c r="Z37" s="255"/>
    </row>
    <row r="38" spans="1:26" ht="47.25" x14ac:dyDescent="0.45">
      <c r="A38" s="19" t="s">
        <v>1045</v>
      </c>
      <c r="B38" s="249" t="s">
        <v>16</v>
      </c>
      <c r="C38" s="250" t="s">
        <v>1978</v>
      </c>
      <c r="D38" s="251">
        <v>12</v>
      </c>
      <c r="E38" s="217" t="s">
        <v>1899</v>
      </c>
      <c r="F38" s="251">
        <v>8</v>
      </c>
      <c r="G38" s="252"/>
      <c r="H38" s="252"/>
      <c r="I38" s="253"/>
      <c r="J38" s="254" t="s">
        <v>1362</v>
      </c>
      <c r="K38" s="218"/>
      <c r="L38" s="218"/>
      <c r="M38" s="218"/>
      <c r="N38" s="218"/>
      <c r="O38" s="218"/>
      <c r="P38" s="218"/>
      <c r="Q38" s="218"/>
      <c r="R38" s="218"/>
      <c r="S38" s="218"/>
      <c r="T38" s="218"/>
      <c r="U38" s="218"/>
      <c r="V38" s="218"/>
      <c r="W38" s="252"/>
      <c r="X38" s="252"/>
      <c r="Y38" s="252"/>
      <c r="Z38" s="255"/>
    </row>
    <row r="39" spans="1:26" ht="47.25" x14ac:dyDescent="0.45">
      <c r="A39" s="19" t="s">
        <v>1002</v>
      </c>
      <c r="B39" s="249" t="s">
        <v>16</v>
      </c>
      <c r="C39" s="250" t="s">
        <v>1984</v>
      </c>
      <c r="D39" s="251">
        <v>16</v>
      </c>
      <c r="E39" s="217" t="s">
        <v>1900</v>
      </c>
      <c r="F39" s="251">
        <v>4</v>
      </c>
      <c r="G39" s="252"/>
      <c r="H39" s="252"/>
      <c r="I39" s="253"/>
      <c r="J39" s="254" t="s">
        <v>1357</v>
      </c>
      <c r="K39" s="218"/>
      <c r="L39" s="218"/>
      <c r="M39" s="218"/>
      <c r="N39" s="218"/>
      <c r="O39" s="218"/>
      <c r="P39" s="218"/>
      <c r="Q39" s="218"/>
      <c r="R39" s="218"/>
      <c r="S39" s="218"/>
      <c r="T39" s="218"/>
      <c r="U39" s="218"/>
      <c r="V39" s="218"/>
      <c r="W39" s="252"/>
      <c r="X39" s="252"/>
      <c r="Y39" s="252"/>
      <c r="Z39" s="255"/>
    </row>
    <row r="40" spans="1:26" ht="42.75" x14ac:dyDescent="0.45">
      <c r="A40" s="19" t="s">
        <v>1005</v>
      </c>
      <c r="B40" s="249" t="s">
        <v>16</v>
      </c>
      <c r="C40" s="296" t="s">
        <v>1980</v>
      </c>
      <c r="D40" s="251">
        <v>16</v>
      </c>
      <c r="E40" s="217" t="s">
        <v>1901</v>
      </c>
      <c r="F40" s="251">
        <v>8</v>
      </c>
      <c r="G40" s="252"/>
      <c r="H40" s="252"/>
      <c r="I40" s="253"/>
      <c r="J40" s="254" t="s">
        <v>1358</v>
      </c>
      <c r="K40" s="218"/>
      <c r="L40" s="218"/>
      <c r="M40" s="218"/>
      <c r="N40" s="218"/>
      <c r="O40" s="218"/>
      <c r="P40" s="218"/>
      <c r="Q40" s="218"/>
      <c r="R40" s="218"/>
      <c r="S40" s="218"/>
      <c r="T40" s="218"/>
      <c r="U40" s="218"/>
      <c r="V40" s="218"/>
      <c r="W40" s="252"/>
      <c r="X40" s="252"/>
      <c r="Y40" s="252"/>
      <c r="Z40" s="255"/>
    </row>
    <row r="41" spans="1:26" ht="47.25" x14ac:dyDescent="0.45">
      <c r="A41" s="19" t="s">
        <v>956</v>
      </c>
      <c r="B41" s="249" t="s">
        <v>653</v>
      </c>
      <c r="C41" s="250" t="s">
        <v>1973</v>
      </c>
      <c r="D41" s="251">
        <v>12</v>
      </c>
      <c r="E41" s="217" t="s">
        <v>1895</v>
      </c>
      <c r="F41" s="251">
        <v>6</v>
      </c>
      <c r="G41" s="218"/>
      <c r="H41" s="252"/>
      <c r="I41" s="253"/>
      <c r="J41" s="254" t="s">
        <v>1357</v>
      </c>
      <c r="K41" s="218"/>
      <c r="L41" s="218"/>
      <c r="M41" s="218"/>
      <c r="N41" s="218"/>
      <c r="O41" s="218"/>
      <c r="P41" s="218"/>
      <c r="Q41" s="218"/>
      <c r="R41" s="218"/>
      <c r="S41" s="218"/>
      <c r="T41" s="218"/>
      <c r="U41" s="218"/>
      <c r="V41" s="218"/>
      <c r="W41" s="252"/>
      <c r="X41" s="252"/>
      <c r="Y41" s="252"/>
      <c r="Z41" s="255"/>
    </row>
    <row r="42" spans="1:26" ht="31.5" x14ac:dyDescent="0.45">
      <c r="A42" s="19" t="s">
        <v>996</v>
      </c>
      <c r="B42" s="249" t="s">
        <v>12</v>
      </c>
      <c r="C42" s="250" t="s">
        <v>1983</v>
      </c>
      <c r="D42" s="251">
        <v>12</v>
      </c>
      <c r="E42" s="217" t="s">
        <v>1897</v>
      </c>
      <c r="F42" s="251">
        <v>6</v>
      </c>
      <c r="G42" s="218"/>
      <c r="H42" s="252"/>
      <c r="I42" s="253"/>
      <c r="J42" s="254" t="s">
        <v>1357</v>
      </c>
      <c r="K42" s="218"/>
      <c r="L42" s="218"/>
      <c r="M42" s="299"/>
      <c r="N42" s="299"/>
      <c r="O42" s="299"/>
      <c r="P42" s="298"/>
      <c r="Q42" s="298"/>
      <c r="R42" s="218"/>
      <c r="S42" s="218"/>
      <c r="T42" s="218"/>
      <c r="U42" s="218"/>
      <c r="V42" s="218"/>
      <c r="W42" s="252"/>
      <c r="X42" s="252"/>
      <c r="Y42" s="252"/>
      <c r="Z42" s="255"/>
    </row>
    <row r="43" spans="1:26" ht="47.25" x14ac:dyDescent="0.45">
      <c r="A43" s="19" t="s">
        <v>938</v>
      </c>
      <c r="B43" s="250" t="s">
        <v>22</v>
      </c>
      <c r="C43" s="250" t="s">
        <v>1979</v>
      </c>
      <c r="D43" s="251">
        <v>12</v>
      </c>
      <c r="E43" s="256" t="s">
        <v>1890</v>
      </c>
      <c r="F43" s="251">
        <v>6</v>
      </c>
      <c r="G43" s="257"/>
      <c r="H43" s="258"/>
      <c r="I43" s="259"/>
      <c r="J43" s="254" t="s">
        <v>1362</v>
      </c>
      <c r="K43" s="257"/>
      <c r="L43" s="257"/>
      <c r="M43" s="257"/>
      <c r="N43" s="257"/>
      <c r="O43" s="257"/>
      <c r="P43" s="257"/>
      <c r="Q43" s="257"/>
      <c r="R43" s="297"/>
      <c r="S43" s="257"/>
      <c r="T43" s="257"/>
      <c r="U43" s="257"/>
      <c r="V43" s="257"/>
      <c r="W43" s="258"/>
      <c r="X43" s="258"/>
      <c r="Y43" s="258"/>
      <c r="Z43" s="260"/>
    </row>
    <row r="44" spans="1:26" ht="47.25" x14ac:dyDescent="0.45">
      <c r="A44" s="19" t="s">
        <v>939</v>
      </c>
      <c r="B44" s="249" t="s">
        <v>22</v>
      </c>
      <c r="C44" s="250" t="s">
        <v>1981</v>
      </c>
      <c r="D44" s="251">
        <v>12</v>
      </c>
      <c r="E44" s="217" t="s">
        <v>1891</v>
      </c>
      <c r="F44" s="251">
        <v>6</v>
      </c>
      <c r="G44" s="218"/>
      <c r="H44" s="252"/>
      <c r="I44" s="253"/>
      <c r="J44" s="254" t="s">
        <v>1358</v>
      </c>
      <c r="K44" s="218"/>
      <c r="L44" s="218"/>
      <c r="M44" s="218"/>
      <c r="N44" s="218"/>
      <c r="O44" s="218"/>
      <c r="P44" s="218"/>
      <c r="Q44" s="218"/>
      <c r="R44" s="298"/>
      <c r="S44" s="218"/>
      <c r="T44" s="218"/>
      <c r="U44" s="218"/>
      <c r="V44" s="218"/>
      <c r="W44" s="252"/>
      <c r="X44" s="252"/>
      <c r="Y44" s="252"/>
      <c r="Z44" s="255"/>
    </row>
    <row r="45" spans="1:26" ht="47.25" x14ac:dyDescent="0.45">
      <c r="A45" s="19" t="s">
        <v>941</v>
      </c>
      <c r="B45" s="249" t="s">
        <v>22</v>
      </c>
      <c r="C45" s="250" t="s">
        <v>1982</v>
      </c>
      <c r="D45" s="251">
        <v>12</v>
      </c>
      <c r="E45" s="217" t="s">
        <v>1892</v>
      </c>
      <c r="F45" s="251">
        <v>6</v>
      </c>
      <c r="G45" s="218"/>
      <c r="H45" s="252"/>
      <c r="I45" s="253"/>
      <c r="J45" s="254" t="s">
        <v>1362</v>
      </c>
      <c r="K45" s="218"/>
      <c r="L45" s="218"/>
      <c r="M45" s="218"/>
      <c r="N45" s="218"/>
      <c r="O45" s="218"/>
      <c r="P45" s="218"/>
      <c r="Q45" s="218"/>
      <c r="R45" s="298"/>
      <c r="S45" s="218"/>
      <c r="T45" s="218"/>
      <c r="U45" s="218"/>
      <c r="V45" s="218"/>
      <c r="W45" s="252"/>
      <c r="X45" s="252"/>
      <c r="Y45" s="252"/>
      <c r="Z45" s="255"/>
    </row>
    <row r="46" spans="1:26" ht="47.25" x14ac:dyDescent="0.45">
      <c r="A46" s="19" t="s">
        <v>1044</v>
      </c>
      <c r="B46" s="250" t="s">
        <v>22</v>
      </c>
      <c r="C46" s="250" t="s">
        <v>1981</v>
      </c>
      <c r="D46" s="251">
        <v>12</v>
      </c>
      <c r="E46" s="256" t="s">
        <v>1898</v>
      </c>
      <c r="F46" s="251">
        <v>8</v>
      </c>
      <c r="G46" s="257"/>
      <c r="H46" s="258"/>
      <c r="I46" s="259"/>
      <c r="J46" s="254" t="s">
        <v>1358</v>
      </c>
      <c r="K46" s="257"/>
      <c r="L46" s="257"/>
      <c r="M46" s="257"/>
      <c r="N46" s="257"/>
      <c r="O46" s="257"/>
      <c r="P46" s="257"/>
      <c r="Q46" s="257"/>
      <c r="R46" s="297"/>
      <c r="S46" s="257"/>
      <c r="T46" s="257"/>
      <c r="U46" s="257"/>
      <c r="V46" s="257"/>
      <c r="W46" s="258"/>
      <c r="X46" s="258"/>
      <c r="Y46" s="258"/>
      <c r="Z46" s="260"/>
    </row>
    <row r="47" spans="1:26" ht="31.5" x14ac:dyDescent="0.45">
      <c r="A47" s="19" t="s">
        <v>1007</v>
      </c>
      <c r="B47" s="249" t="s">
        <v>16</v>
      </c>
      <c r="C47" s="250" t="s">
        <v>1982</v>
      </c>
      <c r="D47" s="251">
        <v>16</v>
      </c>
      <c r="E47" s="217" t="s">
        <v>1902</v>
      </c>
      <c r="F47" s="251">
        <v>8</v>
      </c>
      <c r="G47" s="218"/>
      <c r="H47" s="252"/>
      <c r="I47" s="253"/>
      <c r="J47" s="254" t="s">
        <v>1357</v>
      </c>
      <c r="K47" s="218"/>
      <c r="L47" s="218"/>
      <c r="M47" s="218"/>
      <c r="N47" s="218"/>
      <c r="O47" s="218"/>
      <c r="P47" s="218"/>
      <c r="Q47" s="218"/>
      <c r="R47" s="218"/>
      <c r="S47" s="218"/>
      <c r="T47" s="218"/>
      <c r="U47" s="218"/>
      <c r="V47" s="218"/>
      <c r="W47" s="252"/>
      <c r="X47" s="252"/>
      <c r="Y47" s="252"/>
      <c r="Z47" s="255"/>
    </row>
    <row r="48" spans="1:26" ht="31.5" x14ac:dyDescent="0.45">
      <c r="A48" s="19" t="s">
        <v>1013</v>
      </c>
      <c r="B48" s="250" t="s">
        <v>22</v>
      </c>
      <c r="C48" s="300" t="s">
        <v>1982</v>
      </c>
      <c r="D48" s="301">
        <v>12</v>
      </c>
      <c r="E48" s="256" t="s">
        <v>1903</v>
      </c>
      <c r="F48" s="301">
        <v>6</v>
      </c>
      <c r="G48" s="257"/>
      <c r="H48" s="258"/>
      <c r="I48" s="259"/>
      <c r="J48" s="302" t="s">
        <v>1362</v>
      </c>
      <c r="K48" s="257"/>
      <c r="L48" s="257"/>
      <c r="M48" s="257"/>
      <c r="N48" s="257"/>
      <c r="O48" s="257"/>
      <c r="P48" s="257"/>
      <c r="Q48" s="257"/>
      <c r="R48" s="257"/>
      <c r="S48" s="257"/>
      <c r="T48" s="257"/>
      <c r="U48" s="257"/>
      <c r="V48" s="257"/>
      <c r="W48" s="258"/>
      <c r="X48" s="258"/>
      <c r="Y48" s="258"/>
      <c r="Z48" s="260"/>
    </row>
    <row r="50" spans="3:5" ht="14.65" thickBot="1" x14ac:dyDescent="0.5">
      <c r="C50" s="209" t="s">
        <v>1514</v>
      </c>
      <c r="D50" s="210" t="s">
        <v>1515</v>
      </c>
      <c r="E50" s="210" t="s">
        <v>85</v>
      </c>
    </row>
    <row r="51" spans="3:5" ht="14.65" thickTop="1" x14ac:dyDescent="0.45">
      <c r="C51" s="261"/>
      <c r="D51" s="262"/>
      <c r="E51" s="263"/>
    </row>
    <row r="52" spans="3:5" x14ac:dyDescent="0.45">
      <c r="C52" s="264"/>
      <c r="D52" s="265"/>
      <c r="E52" s="266"/>
    </row>
    <row r="53" spans="3:5" x14ac:dyDescent="0.45">
      <c r="C53" s="261"/>
      <c r="D53" s="262"/>
      <c r="E53" s="263"/>
    </row>
    <row r="54" spans="3:5" x14ac:dyDescent="0.45">
      <c r="C54" s="264"/>
      <c r="D54" s="265"/>
      <c r="E54" s="266"/>
    </row>
    <row r="55" spans="3:5" x14ac:dyDescent="0.45">
      <c r="C55" s="261"/>
      <c r="D55" s="262"/>
      <c r="E55" s="263"/>
    </row>
    <row r="56" spans="3:5" x14ac:dyDescent="0.45">
      <c r="C56" s="267"/>
      <c r="D56" s="268"/>
      <c r="E56" s="269"/>
    </row>
    <row r="57" spans="3:5" x14ac:dyDescent="0.45">
      <c r="C57" s="270"/>
      <c r="D57" s="271"/>
      <c r="E57" s="272"/>
    </row>
    <row r="58" spans="3:5" x14ac:dyDescent="0.45">
      <c r="C58" s="267"/>
      <c r="D58" s="268"/>
      <c r="E58" s="269"/>
    </row>
    <row r="59" spans="3:5" x14ac:dyDescent="0.45">
      <c r="C59" s="273"/>
      <c r="D59" s="274"/>
      <c r="E59" s="275"/>
    </row>
  </sheetData>
  <dataConsolidate/>
  <mergeCells count="11">
    <mergeCell ref="K6:Y6"/>
    <mergeCell ref="K2:M2"/>
    <mergeCell ref="N2:P2"/>
    <mergeCell ref="Q2:S2"/>
    <mergeCell ref="T2:V2"/>
    <mergeCell ref="W2:Y2"/>
    <mergeCell ref="K31:M31"/>
    <mergeCell ref="N31:P31"/>
    <mergeCell ref="Q31:S31"/>
    <mergeCell ref="T31:V31"/>
    <mergeCell ref="W31:Y31"/>
  </mergeCells>
  <conditionalFormatting sqref="C3:C9 J33:J48">
    <cfRule type="containsText" dxfId="32" priority="6" operator="containsText" text="Urgent">
      <formula>NOT(ISERROR(SEARCH("Urgent",C3)))</formula>
    </cfRule>
    <cfRule type="containsText" dxfId="31" priority="7" operator="containsText" text="Completed">
      <formula>NOT(ISERROR(SEARCH("Completed",C3)))</formula>
    </cfRule>
    <cfRule type="containsText" dxfId="30" priority="8" operator="containsText" text="QA/QC">
      <formula>NOT(ISERROR(SEARCH("QA/QC",C3)))</formula>
    </cfRule>
    <cfRule type="containsText" dxfId="29" priority="9" operator="containsText" text="3rd Party Action">
      <formula>NOT(ISERROR(SEARCH("3rd Party Action",C3)))</formula>
    </cfRule>
    <cfRule type="containsText" dxfId="28" priority="10" operator="containsText" text="Working">
      <formula>NOT(ISERROR(SEARCH("Working",C3)))</formula>
    </cfRule>
    <cfRule type="containsText" dxfId="27" priority="11" operator="containsText" text="Initiated">
      <formula>NOT(ISERROR(SEARCH("Initiated",C3)))</formula>
    </cfRule>
    <cfRule type="beginsWith" dxfId="26" priority="12" operator="beginsWith" text="Not Started">
      <formula>LEFT(C3,LEN("Not Started"))="Not Started"</formula>
    </cfRule>
  </conditionalFormatting>
  <conditionalFormatting sqref="C3:C9 J33:K48 K49:K1048576">
    <cfRule type="cellIs" dxfId="25" priority="13" operator="equal">
      <formula>"Not Yet Started"</formula>
    </cfRule>
    <cfRule type="cellIs" dxfId="24" priority="14" operator="equal">
      <formula>"In Progress"</formula>
    </cfRule>
    <cfRule type="cellIs" dxfId="23" priority="15" operator="equal">
      <formula>"Completed"</formula>
    </cfRule>
  </conditionalFormatting>
  <conditionalFormatting sqref="C33:C48">
    <cfRule type="cellIs" dxfId="22" priority="2" operator="equal">
      <formula>"Need"</formula>
    </cfRule>
  </conditionalFormatting>
  <conditionalFormatting sqref="C51:C59">
    <cfRule type="cellIs" dxfId="21" priority="1" operator="equal">
      <formula>"Need"</formula>
    </cfRule>
  </conditionalFormatting>
  <conditionalFormatting sqref="J32">
    <cfRule type="cellIs" dxfId="20" priority="3" operator="equal">
      <formula>"Not Yet Started"</formula>
    </cfRule>
    <cfRule type="cellIs" dxfId="19" priority="4" operator="equal">
      <formula>"In Progress"</formula>
    </cfRule>
    <cfRule type="cellIs" dxfId="18" priority="5" operator="equal">
      <formula>"Completed"</formula>
    </cfRule>
  </conditionalFormatting>
  <pageMargins left="0.7" right="0.7" top="0.75" bottom="0.75" header="0.3" footer="0.3"/>
  <pageSetup scale="58" fitToWidth="0"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8488ACDD-2AC5-4B4D-832E-87FA00D95EB6}">
          <x14:formula1>
            <xm:f>Lookup!$L$26:$L$33</xm:f>
          </x14:formula1>
          <xm:sqref>J33:J48</xm:sqref>
        </x14:dataValidation>
        <x14:dataValidation type="list" allowBlank="1" showInputMessage="1" showErrorMessage="1" xr:uid="{5C725A5D-BFF8-4FCB-9988-0EEFE8C236B9}">
          <x14:formula1>
            <xm:f>Lookup!$F$19:$F$22</xm:f>
          </x14:formula1>
          <xm:sqref>G33:G48</xm:sqref>
        </x14:dataValidation>
        <x14:dataValidation type="list" allowBlank="1" showInputMessage="1" showErrorMessage="1" xr:uid="{0E20C96F-3B6D-4D90-99F9-C24514B62691}">
          <x14:formula1>
            <xm:f>Lookup!$L$36:$L$41</xm:f>
          </x14:formula1>
          <xm:sqref>H33:H48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C423620405114395247E8B9B700E21" ma:contentTypeVersion="8" ma:contentTypeDescription="Create a new document." ma:contentTypeScope="" ma:versionID="0615dcbfa7f43e8e7fb757c8a9f15457">
  <xsd:schema xmlns:xsd="http://www.w3.org/2001/XMLSchema" xmlns:xs="http://www.w3.org/2001/XMLSchema" xmlns:p="http://schemas.microsoft.com/office/2006/metadata/properties" xmlns:ns2="57f856cb-0f07-492f-a44e-2d5a3b34fad2" xmlns:ns3="1714f640-daba-48b5-9d7f-3dcad77d6e43" targetNamespace="http://schemas.microsoft.com/office/2006/metadata/properties" ma:root="true" ma:fieldsID="27dc2c9ecc1ae649d737bda5bc34e4e0" ns2:_="" ns3:_="">
    <xsd:import namespace="57f856cb-0f07-492f-a44e-2d5a3b34fad2"/>
    <xsd:import namespace="1714f640-daba-48b5-9d7f-3dcad77d6e4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f856cb-0f07-492f-a44e-2d5a3b34fa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714f640-daba-48b5-9d7f-3dcad77d6e4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714f640-daba-48b5-9d7f-3dcad77d6e43">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913328-DA12-4DF9-80F1-911EAFA3DEB0}"/>
</file>

<file path=customXml/itemProps2.xml><?xml version="1.0" encoding="utf-8"?>
<ds:datastoreItem xmlns:ds="http://schemas.openxmlformats.org/officeDocument/2006/customXml" ds:itemID="{2622DDAA-5652-41E7-9C3E-1AA91F0FEB28}">
  <ds:schemaRefs>
    <ds:schemaRef ds:uri="http://purl.org/dc/elements/1.1/"/>
    <ds:schemaRef ds:uri="http://schemas.microsoft.com/office/2006/metadata/properties"/>
    <ds:schemaRef ds:uri="9cc14117-2901-41ad-be99-a0111757b59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5E1FD28B-439E-4643-B00B-2E2B4ECB45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21</vt:i4>
      </vt:variant>
      <vt:variant>
        <vt:lpstr>Charts</vt:lpstr>
      </vt:variant>
      <vt:variant>
        <vt:i4>4</vt:i4>
      </vt:variant>
      <vt:variant>
        <vt:lpstr>Named Ranges</vt:lpstr>
      </vt:variant>
      <vt:variant>
        <vt:i4>155</vt:i4>
      </vt:variant>
    </vt:vector>
  </HeadingPairs>
  <TitlesOfParts>
    <vt:vector size="180" baseType="lpstr">
      <vt:lpstr>Project Tracker - Template</vt:lpstr>
      <vt:lpstr>Pivot - CSP (Current)</vt:lpstr>
      <vt:lpstr>Pivot - CSP (All)</vt:lpstr>
      <vt:lpstr>Pivot - TC</vt:lpstr>
      <vt:lpstr>Sheet2</vt:lpstr>
      <vt:lpstr>Risk Register</vt:lpstr>
      <vt:lpstr>Risk Treatment Plan</vt:lpstr>
      <vt:lpstr>Risk Treatment Roadmap</vt:lpstr>
      <vt:lpstr>ProTrak</vt:lpstr>
      <vt:lpstr>Risk Assessment Criteria</vt:lpstr>
      <vt:lpstr>HIT WDI Model</vt:lpstr>
      <vt:lpstr>HIT</vt:lpstr>
      <vt:lpstr>KRI Analytics</vt:lpstr>
      <vt:lpstr>Standard KRIs</vt:lpstr>
      <vt:lpstr>KRI - Risk Trend</vt:lpstr>
      <vt:lpstr>MITRE Attack Mappings</vt:lpstr>
      <vt:lpstr>Ransomware</vt:lpstr>
      <vt:lpstr>Privilege Misuse</vt:lpstr>
      <vt:lpstr>SoA</vt:lpstr>
      <vt:lpstr>Lookup</vt:lpstr>
      <vt:lpstr>Solutions</vt:lpstr>
      <vt:lpstr>Chart2</vt:lpstr>
      <vt:lpstr>Chart - Current Risk by CSP</vt:lpstr>
      <vt:lpstr>Chart - Risk by CSP</vt:lpstr>
      <vt:lpstr>Chart - Risk by TC</vt:lpstr>
      <vt:lpstr>Asset_Classes</vt:lpstr>
      <vt:lpstr>CLR</vt:lpstr>
      <vt:lpstr>'Pivot - CSP (Current)'!Control_Maturity</vt:lpstr>
      <vt:lpstr>ProTrak!Control_Maturity</vt:lpstr>
      <vt:lpstr>'Risk Treatment Plan'!Control_Maturity</vt:lpstr>
      <vt:lpstr>Control_Maturity</vt:lpstr>
      <vt:lpstr>CSPType</vt:lpstr>
      <vt:lpstr>'Pivot - CSP (Current)'!Current_Level_of_Risk</vt:lpstr>
      <vt:lpstr>ProTrak!Current_Level_of_Risk</vt:lpstr>
      <vt:lpstr>'Risk Treatment Plan'!Current_Level_of_Risk</vt:lpstr>
      <vt:lpstr>Current_Level_of_Risk</vt:lpstr>
      <vt:lpstr>'Pivot - CSP (Current)'!Due_Date</vt:lpstr>
      <vt:lpstr>ProTrak!Due_Date</vt:lpstr>
      <vt:lpstr>'Risk Treatment Plan'!Due_Date</vt:lpstr>
      <vt:lpstr>Due_Date</vt:lpstr>
      <vt:lpstr>'Pivot - CSP (Current)'!Estimated_End_Date</vt:lpstr>
      <vt:lpstr>ProTrak!Estimated_End_Date</vt:lpstr>
      <vt:lpstr>'Risk Treatment Plan'!Estimated_End_Date</vt:lpstr>
      <vt:lpstr>Estimated_End_Date</vt:lpstr>
      <vt:lpstr>'Pivot - CSP (Current)'!Feasibility</vt:lpstr>
      <vt:lpstr>ProTrak!Feasibility</vt:lpstr>
      <vt:lpstr>'Risk Treatment Plan'!Feasibility</vt:lpstr>
      <vt:lpstr>Feasibility</vt:lpstr>
      <vt:lpstr>'Pivot - CSP (Current)'!HIT_Quintile</vt:lpstr>
      <vt:lpstr>ProTrak!HIT_Quintile</vt:lpstr>
      <vt:lpstr>'Risk Treatment Plan'!HIT_Quintile</vt:lpstr>
      <vt:lpstr>HIT_Quintile</vt:lpstr>
      <vt:lpstr>lst_TC</vt:lpstr>
      <vt:lpstr>'Pivot - CSP (Current)'!lstCSC</vt:lpstr>
      <vt:lpstr>'Pivot - TC'!lstCSC</vt:lpstr>
      <vt:lpstr>ProTrak!lstCSC</vt:lpstr>
      <vt:lpstr>'Risk Treatment Plan'!lstCSC</vt:lpstr>
      <vt:lpstr>lstCSC</vt:lpstr>
      <vt:lpstr>'Pivot - CSP (Current)'!lstCSP</vt:lpstr>
      <vt:lpstr>'Pivot - TC'!lstCSP</vt:lpstr>
      <vt:lpstr>ProTrak!lstCSP</vt:lpstr>
      <vt:lpstr>'Risk Treatment Plan'!lstCSP</vt:lpstr>
      <vt:lpstr>lstCSP</vt:lpstr>
      <vt:lpstr>'Pivot - CSP (Current)'!lstDates</vt:lpstr>
      <vt:lpstr>ProTrak!lstDates</vt:lpstr>
      <vt:lpstr>'Risk Treatment Plan'!lstDates</vt:lpstr>
      <vt:lpstr>lstDates</vt:lpstr>
      <vt:lpstr>'Pivot - CSP (Current)'!lstLikelihood</vt:lpstr>
      <vt:lpstr>'Pivot - TC'!lstLikelihood</vt:lpstr>
      <vt:lpstr>ProTrak!lstLikelihood</vt:lpstr>
      <vt:lpstr>'Risk Treatment Plan'!lstLikelihood</vt:lpstr>
      <vt:lpstr>lstLikelihood</vt:lpstr>
      <vt:lpstr>'Pivot - CSP (Current)'!lstMaturity</vt:lpstr>
      <vt:lpstr>'Pivot - TC'!lstMaturity</vt:lpstr>
      <vt:lpstr>ProTrak!lstMaturity</vt:lpstr>
      <vt:lpstr>'Risk Treatment Plan'!lstMaturity</vt:lpstr>
      <vt:lpstr>lstMaturity</vt:lpstr>
      <vt:lpstr>'Pivot - CSP (Current)'!lstMaturityVals</vt:lpstr>
      <vt:lpstr>'Pivot - TC'!lstMaturityVals</vt:lpstr>
      <vt:lpstr>ProTrak!lstMaturityVals</vt:lpstr>
      <vt:lpstr>'Risk Treatment Plan'!lstMaturityVals</vt:lpstr>
      <vt:lpstr>lstMaturityVals</vt:lpstr>
      <vt:lpstr>'Pivot - CSP (Current)'!lstRTP</vt:lpstr>
      <vt:lpstr>'Pivot - TC'!lstRTP</vt:lpstr>
      <vt:lpstr>ProTrak!lstRTP</vt:lpstr>
      <vt:lpstr>'Risk Treatment Plan'!lstRTP</vt:lpstr>
      <vt:lpstr>lstRTP</vt:lpstr>
      <vt:lpstr>'Pivot - CSP (Current)'!lstSafeguardStatus</vt:lpstr>
      <vt:lpstr>'Pivot - TC'!lstSafeguardStatus</vt:lpstr>
      <vt:lpstr>ProTrak!lstSafeguardStatus</vt:lpstr>
      <vt:lpstr>'Risk Treatment Plan'!lstSafeguardStatus</vt:lpstr>
      <vt:lpstr>lstSafeguardStatus</vt:lpstr>
      <vt:lpstr>'Pivot - CSP (Current)'!lstSolutions</vt:lpstr>
      <vt:lpstr>ProTrak!lstSolutions</vt:lpstr>
      <vt:lpstr>'Risk Treatment Plan'!lstSolutions</vt:lpstr>
      <vt:lpstr>lstSolutions</vt:lpstr>
      <vt:lpstr>'Pivot - CSP (Current)'!lstStandards</vt:lpstr>
      <vt:lpstr>'Pivot - TC'!lstStandards</vt:lpstr>
      <vt:lpstr>ProTrak!lstStandards</vt:lpstr>
      <vt:lpstr>'Risk Treatment Plan'!lstStandards</vt:lpstr>
      <vt:lpstr>lstStandards</vt:lpstr>
      <vt:lpstr>'Pivot - CSP (Current)'!lstTC</vt:lpstr>
      <vt:lpstr>'Pivot - TC'!lstTC</vt:lpstr>
      <vt:lpstr>ProTrak!lstTC</vt:lpstr>
      <vt:lpstr>'Risk Treatment Plan'!lstTC</vt:lpstr>
      <vt:lpstr>lstTC</vt:lpstr>
      <vt:lpstr>'Project Tracker - Template'!Month1</vt:lpstr>
      <vt:lpstr>Month1</vt:lpstr>
      <vt:lpstr>'Project Tracker - Template'!Month10</vt:lpstr>
      <vt:lpstr>Month10</vt:lpstr>
      <vt:lpstr>'Project Tracker - Template'!Month11</vt:lpstr>
      <vt:lpstr>Month11</vt:lpstr>
      <vt:lpstr>'Project Tracker - Template'!Month12</vt:lpstr>
      <vt:lpstr>Month12</vt:lpstr>
      <vt:lpstr>'Project Tracker - Template'!Month13</vt:lpstr>
      <vt:lpstr>Month13</vt:lpstr>
      <vt:lpstr>'Project Tracker - Template'!Month14</vt:lpstr>
      <vt:lpstr>Month14</vt:lpstr>
      <vt:lpstr>'Project Tracker - Template'!Month15</vt:lpstr>
      <vt:lpstr>Month15</vt:lpstr>
      <vt:lpstr>'Project Tracker - Template'!Month2</vt:lpstr>
      <vt:lpstr>Month2</vt:lpstr>
      <vt:lpstr>'Project Tracker - Template'!Month3</vt:lpstr>
      <vt:lpstr>Month3</vt:lpstr>
      <vt:lpstr>'Project Tracker - Template'!Month4</vt:lpstr>
      <vt:lpstr>Month4</vt:lpstr>
      <vt:lpstr>'Project Tracker - Template'!Month5</vt:lpstr>
      <vt:lpstr>Month5</vt:lpstr>
      <vt:lpstr>'Project Tracker - Template'!Month6</vt:lpstr>
      <vt:lpstr>Month6</vt:lpstr>
      <vt:lpstr>'Project Tracker - Template'!Month7</vt:lpstr>
      <vt:lpstr>Month7</vt:lpstr>
      <vt:lpstr>'Project Tracker - Template'!Month8</vt:lpstr>
      <vt:lpstr>Month8</vt:lpstr>
      <vt:lpstr>'Project Tracker - Template'!Month9</vt:lpstr>
      <vt:lpstr>Month9</vt:lpstr>
      <vt:lpstr>'Pivot - CSP (Current)'!Quarters</vt:lpstr>
      <vt:lpstr>ProTrak!Quarters</vt:lpstr>
      <vt:lpstr>'Risk Treatment Plan'!Quarters</vt:lpstr>
      <vt:lpstr>Quarters</vt:lpstr>
      <vt:lpstr>'Project Tracker - Template'!Responsibility</vt:lpstr>
      <vt:lpstr>Responsibility</vt:lpstr>
      <vt:lpstr>'Pivot - CSP (Current)'!Responsible_Party</vt:lpstr>
      <vt:lpstr>ProTrak!Responsible_Party</vt:lpstr>
      <vt:lpstr>'Risk Treatment Plan'!Responsible_Party</vt:lpstr>
      <vt:lpstr>Responsible_Party</vt:lpstr>
      <vt:lpstr>'Pivot - CSP (Current)'!Risk_Level</vt:lpstr>
      <vt:lpstr>ProTrak!Risk_Level</vt:lpstr>
      <vt:lpstr>'Risk Treatment Plan'!Risk_Level</vt:lpstr>
      <vt:lpstr>Risk_Level</vt:lpstr>
      <vt:lpstr>'Pivot - CSP (Current)'!Risk_Score</vt:lpstr>
      <vt:lpstr>ProTrak!Risk_Score</vt:lpstr>
      <vt:lpstr>'Risk Treatment Plan'!Risk_Score</vt:lpstr>
      <vt:lpstr>Risk_Score</vt:lpstr>
      <vt:lpstr>'Pivot - CSP (Current)'!Risk_Score_With_Safeguard_in_Place</vt:lpstr>
      <vt:lpstr>ProTrak!Risk_Score_With_Safeguard_in_Place</vt:lpstr>
      <vt:lpstr>'Risk Treatment Plan'!Risk_Score_With_Safeguard_in_Place</vt:lpstr>
      <vt:lpstr>Risk_Score_With_Safeguard_in_Place</vt:lpstr>
      <vt:lpstr>'Pivot - CSP (Current)'!Risk_Treatment_Program</vt:lpstr>
      <vt:lpstr>ProTrak!Risk_Treatment_Program</vt:lpstr>
      <vt:lpstr>'Risk Treatment Plan'!Risk_Treatment_Program</vt:lpstr>
      <vt:lpstr>Risk_Treatment_Program</vt:lpstr>
      <vt:lpstr>RRCSP</vt:lpstr>
      <vt:lpstr>RRRS</vt:lpstr>
      <vt:lpstr>RRSGRS</vt:lpstr>
      <vt:lpstr>RTO</vt:lpstr>
      <vt:lpstr>RTS</vt:lpstr>
      <vt:lpstr>'Pivot - CSP (Current)'!Threat_Cluster</vt:lpstr>
      <vt:lpstr>ProTrak!Threat_Cluster</vt:lpstr>
      <vt:lpstr>'Risk Treatment Plan'!Threat_Cluster</vt:lpstr>
      <vt:lpstr>Threat_Cluster</vt:lpstr>
      <vt:lpstr>ProTrak!valALR</vt:lpstr>
      <vt:lpstr>'Risk Treatment Plan'!valALR</vt:lpstr>
      <vt:lpstr>valALR</vt:lpstr>
      <vt:lpstr>ProTrak!valCLR</vt:lpstr>
      <vt:lpstr>'Risk Treatment Plan'!valCLR</vt:lpstr>
      <vt:lpstr>valCLR</vt:lpstr>
      <vt:lpstr>ProTrak!vWhatIfQuarter</vt:lpstr>
      <vt:lpstr>'Risk Treatment Plan'!vWhatIfQuarter</vt:lpstr>
      <vt:lpstr>vWhatIfQuarter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2010-11-01T18:49:33Z</dcterms:created>
  <dcterms:modified xsi:type="dcterms:W3CDTF">2024-07-30T08:46:38Z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0x0101007CC423620405114395247E8B9B700E21</vt:lpwstr>
  </property>
  <property fmtid="{D5CDD505-2E9C-101B-9397-08002B2CF9AE}" pid="3" name="Order">
    <vt:r8>538100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ies>
</file>